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WASANA PC\AUDIT 2023-2024\"/>
    </mc:Choice>
  </mc:AlternateContent>
  <xr:revisionPtr revIDLastSave="0" documentId="13_ncr:1_{8FD42A7E-88CD-4951-952D-99D91EE4DFBB}" xr6:coauthVersionLast="47" xr6:coauthVersionMax="47" xr10:uidLastSave="{00000000-0000-0000-0000-000000000000}"/>
  <bookViews>
    <workbookView xWindow="-120" yWindow="-120" windowWidth="20730" windowHeight="11160" tabRatio="605" firstSheet="1" activeTab="4" xr2:uid="{87E6B45C-516C-4730-B063-55CF96D7A485}"/>
  </bookViews>
  <sheets>
    <sheet name="Administrative exp." sheetId="1" r:id="rId1"/>
    <sheet name="Selling &amp; Dist." sheetId="2" r:id="rId2"/>
    <sheet name="Finanacial exp" sheetId="3" r:id="rId3"/>
    <sheet name="Sales" sheetId="4" r:id="rId4"/>
    <sheet name="Showroom Sales" sheetId="7" r:id="rId5"/>
    <sheet name="Sheet6" sheetId="6" r:id="rId6"/>
    <sheet name="Sheet5" sheetId="5" r:id="rId7"/>
  </sheets>
  <definedNames>
    <definedName name="_xlnm.Print_Area" localSheetId="0">'Administrative exp.'!$A$1:$I$63</definedName>
    <definedName name="_xlnm.Print_Area" localSheetId="2">'Finanacial exp'!$A$1:$I$32</definedName>
    <definedName name="_xlnm.Print_Area" localSheetId="3">Sales!$A$1:$J$26</definedName>
    <definedName name="_xlnm.Print_Area" localSheetId="1">'Selling &amp; Dist.'!$A$1:$I$40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7" l="1"/>
  <c r="E9" i="7"/>
  <c r="F9" i="7"/>
  <c r="G9" i="7"/>
  <c r="H9" i="7"/>
  <c r="I9" i="7"/>
  <c r="J9" i="7"/>
  <c r="C9" i="7"/>
  <c r="I30" i="1" l="1"/>
  <c r="I58" i="1"/>
  <c r="I35" i="2"/>
  <c r="J14" i="4" l="1"/>
  <c r="J12" i="4"/>
  <c r="F313" i="5"/>
  <c r="F311" i="5"/>
  <c r="I12" i="4"/>
  <c r="F303" i="5"/>
  <c r="F282" i="5"/>
  <c r="F309" i="5"/>
  <c r="F297" i="5"/>
  <c r="F278" i="5"/>
  <c r="F270" i="5"/>
  <c r="I29" i="2"/>
  <c r="I3" i="3"/>
  <c r="I21" i="3" s="1"/>
  <c r="H21" i="3"/>
  <c r="I33" i="2"/>
  <c r="I31" i="2"/>
  <c r="I27" i="2"/>
  <c r="I41" i="1"/>
  <c r="H7" i="1"/>
  <c r="I7" i="1"/>
  <c r="H58" i="1"/>
  <c r="F280" i="5" l="1"/>
  <c r="H21" i="2" l="1"/>
  <c r="H35" i="2"/>
  <c r="H42" i="1"/>
  <c r="H3" i="3"/>
  <c r="H40" i="2"/>
  <c r="H29" i="2"/>
  <c r="H27" i="2"/>
  <c r="H38" i="2"/>
  <c r="H20" i="1"/>
  <c r="I27" i="1"/>
  <c r="I26" i="1"/>
  <c r="I25" i="1"/>
  <c r="I24" i="1"/>
  <c r="H27" i="1"/>
  <c r="H26" i="1"/>
  <c r="H25" i="1"/>
  <c r="H24" i="1"/>
  <c r="H63" i="1" l="1"/>
  <c r="I19" i="4" s="1"/>
  <c r="I16" i="4"/>
  <c r="J16" i="4"/>
  <c r="I7" i="4"/>
  <c r="J7" i="4"/>
  <c r="I23" i="4" l="1"/>
  <c r="J23" i="4"/>
  <c r="I63" i="1"/>
  <c r="J19" i="4" s="1"/>
  <c r="I21" i="4" l="1"/>
  <c r="I25" i="4" s="1"/>
  <c r="I30" i="4" s="1"/>
  <c r="I40" i="2"/>
  <c r="J21" i="4" s="1"/>
  <c r="J25" i="4" s="1"/>
  <c r="J30" i="4" s="1"/>
  <c r="G26" i="6"/>
  <c r="G24" i="6"/>
  <c r="G21" i="6"/>
  <c r="G18" i="6"/>
  <c r="G13" i="6"/>
  <c r="G10" i="6"/>
  <c r="G4" i="6"/>
  <c r="G21" i="3"/>
  <c r="C21" i="3"/>
  <c r="D21" i="3"/>
  <c r="E21" i="3"/>
  <c r="F21" i="3"/>
  <c r="B21" i="3"/>
  <c r="C63" i="1"/>
  <c r="D63" i="1"/>
  <c r="E63" i="1"/>
  <c r="F63" i="1"/>
  <c r="G63" i="1"/>
  <c r="B63" i="1"/>
  <c r="G5" i="2"/>
  <c r="F5" i="2"/>
  <c r="E5" i="2"/>
  <c r="D5" i="2"/>
  <c r="C5" i="2"/>
  <c r="B5" i="2"/>
  <c r="J27" i="4" l="1"/>
  <c r="I27" i="4"/>
  <c r="D20" i="1"/>
  <c r="C37" i="1"/>
  <c r="D35" i="2"/>
  <c r="C35" i="2"/>
  <c r="G29" i="2"/>
  <c r="F29" i="2"/>
  <c r="E29" i="2"/>
  <c r="D29" i="2"/>
  <c r="C29" i="2"/>
  <c r="B29" i="2"/>
  <c r="F35" i="2"/>
  <c r="D23" i="4" l="1"/>
  <c r="E23" i="4"/>
  <c r="F23" i="4"/>
  <c r="G23" i="4"/>
  <c r="H23" i="4"/>
  <c r="C23" i="4"/>
  <c r="F19" i="4"/>
  <c r="G19" i="4"/>
  <c r="C19" i="4"/>
  <c r="H14" i="4"/>
  <c r="F223" i="5"/>
  <c r="F225" i="5" s="1"/>
  <c r="H12" i="4" s="1"/>
  <c r="F177" i="5"/>
  <c r="F180" i="5" s="1"/>
  <c r="G12" i="4" s="1"/>
  <c r="G16" i="4" s="1"/>
  <c r="F159" i="5"/>
  <c r="F162" i="5" s="1"/>
  <c r="F12" i="4" s="1"/>
  <c r="F16" i="4" s="1"/>
  <c r="F122" i="5"/>
  <c r="F124" i="5" s="1"/>
  <c r="E12" i="4" s="1"/>
  <c r="F128" i="5"/>
  <c r="E14" i="4" s="1"/>
  <c r="F85" i="5"/>
  <c r="D12" i="4" s="1"/>
  <c r="F89" i="5"/>
  <c r="D14" i="4" s="1"/>
  <c r="F83" i="5"/>
  <c r="F47" i="5"/>
  <c r="F49" i="5" s="1"/>
  <c r="C12" i="4" s="1"/>
  <c r="D16" i="4" l="1"/>
  <c r="M126" i="5"/>
  <c r="E16" i="4"/>
  <c r="C16" i="4"/>
  <c r="H16" i="4"/>
  <c r="D7" i="4"/>
  <c r="E7" i="4"/>
  <c r="F7" i="4"/>
  <c r="G7" i="4"/>
  <c r="H7" i="4"/>
  <c r="C7" i="4"/>
  <c r="F26" i="3" l="1"/>
  <c r="C42" i="1"/>
  <c r="B42" i="1"/>
  <c r="C20" i="1"/>
  <c r="F7" i="1"/>
  <c r="M19" i="1" l="1"/>
  <c r="G41" i="1"/>
  <c r="E41" i="1"/>
  <c r="D41" i="1"/>
  <c r="J13" i="3"/>
  <c r="C35" i="1" l="1"/>
  <c r="B35" i="1"/>
  <c r="B31" i="1"/>
  <c r="E23" i="1"/>
  <c r="G3" i="3"/>
  <c r="F3" i="3"/>
  <c r="E3" i="3"/>
  <c r="D3" i="3"/>
  <c r="C3" i="3"/>
  <c r="B3" i="3"/>
  <c r="G38" i="2"/>
  <c r="F38" i="2"/>
  <c r="E38" i="2"/>
  <c r="C38" i="2"/>
  <c r="B38" i="2"/>
  <c r="J38" i="2" s="1"/>
  <c r="G35" i="2"/>
  <c r="E35" i="2"/>
  <c r="B35" i="2"/>
  <c r="G27" i="2"/>
  <c r="F27" i="2"/>
  <c r="E27" i="2"/>
  <c r="D27" i="2"/>
  <c r="C27" i="2"/>
  <c r="B27" i="2"/>
  <c r="J27" i="2" s="1"/>
  <c r="G21" i="2"/>
  <c r="F21" i="2"/>
  <c r="F40" i="2" l="1"/>
  <c r="G40" i="2"/>
  <c r="E21" i="2"/>
  <c r="E40" i="2" s="1"/>
  <c r="D21" i="2"/>
  <c r="D40" i="2" s="1"/>
  <c r="C21" i="2"/>
  <c r="C40" i="2" s="1"/>
  <c r="B21" i="2"/>
  <c r="B40" i="2" s="1"/>
  <c r="C27" i="1" l="1"/>
  <c r="D27" i="1"/>
  <c r="E27" i="1"/>
  <c r="F27" i="1"/>
  <c r="G27" i="1"/>
  <c r="B27" i="1"/>
  <c r="C26" i="1"/>
  <c r="D26" i="1"/>
  <c r="E26" i="1"/>
  <c r="F26" i="1"/>
  <c r="G26" i="1"/>
  <c r="B26" i="1"/>
  <c r="G24" i="1"/>
  <c r="E24" i="1"/>
  <c r="C24" i="1"/>
  <c r="C25" i="1"/>
  <c r="D25" i="1"/>
  <c r="E25" i="1"/>
  <c r="F25" i="1"/>
  <c r="G25" i="1"/>
  <c r="D24" i="1"/>
  <c r="F24" i="1"/>
  <c r="B25" i="1"/>
  <c r="B24" i="1"/>
  <c r="H21" i="4" l="1"/>
  <c r="G21" i="4"/>
  <c r="E21" i="4"/>
  <c r="D21" i="4"/>
  <c r="C21" i="4"/>
  <c r="F21" i="4"/>
  <c r="D19" i="4"/>
  <c r="E19" i="4"/>
  <c r="H19" i="4"/>
  <c r="H25" i="4" s="1"/>
  <c r="H27" i="4" l="1"/>
  <c r="H30" i="4"/>
  <c r="F25" i="4"/>
  <c r="F30" i="4" s="1"/>
  <c r="F27" i="4"/>
  <c r="E25" i="4"/>
  <c r="E30" i="4" s="1"/>
  <c r="E27" i="4"/>
  <c r="D27" i="4"/>
  <c r="D25" i="4"/>
  <c r="D30" i="4" s="1"/>
  <c r="C25" i="4"/>
  <c r="C30" i="4" s="1"/>
  <c r="C27" i="4"/>
  <c r="G27" i="4"/>
  <c r="G25" i="4"/>
  <c r="G30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WASANA</author>
  </authors>
  <commentList>
    <comment ref="A19" authorId="0" shapeId="0" xr:uid="{6588CF1A-2C0D-413E-97DD-02393AF5861B}">
      <text>
        <r>
          <rPr>
            <b/>
            <sz val="9"/>
            <color indexed="81"/>
            <rFont val="Tahoma"/>
            <family val="2"/>
          </rPr>
          <t>WASANA:</t>
        </r>
        <r>
          <rPr>
            <sz val="9"/>
            <color indexed="81"/>
            <rFont val="Tahoma"/>
            <family val="2"/>
          </rPr>
          <t xml:space="preserve">
mr mahesh included</t>
        </r>
      </text>
    </comment>
  </commentList>
</comments>
</file>

<file path=xl/sharedStrings.xml><?xml version="1.0" encoding="utf-8"?>
<sst xmlns="http://schemas.openxmlformats.org/spreadsheetml/2006/main" count="1323" uniqueCount="340">
  <si>
    <t>SALE COMMESIONS -Benyue</t>
  </si>
  <si>
    <t>Fuel Allowance - Mr.Kumara</t>
  </si>
  <si>
    <t>Fuel Allowance - Mr. Lasantha</t>
  </si>
  <si>
    <t>Mr. Samith - Fuel Allawance</t>
  </si>
  <si>
    <t>Mr. Upul - Fuel Allawance</t>
  </si>
  <si>
    <t>Mr. Athula - Fuel Allawance</t>
  </si>
  <si>
    <t>Staff  - Fuel Allawance</t>
  </si>
  <si>
    <t>Incentive -STAFF</t>
  </si>
  <si>
    <t>Incentive -DIRECTORS</t>
  </si>
  <si>
    <t>Vehicle Rent -Benyue</t>
  </si>
  <si>
    <t>Fuel expences</t>
  </si>
  <si>
    <t>Sales Expenses</t>
  </si>
  <si>
    <t>Sales Promotion</t>
  </si>
  <si>
    <t>Travelling &amp; Transport</t>
  </si>
  <si>
    <t>Vehicle Repair &amp; Maintainess</t>
  </si>
  <si>
    <t>Bank Charges</t>
  </si>
  <si>
    <t>Credit Card Commission</t>
  </si>
  <si>
    <t>Legal Charges</t>
  </si>
  <si>
    <t>Loan Intererst -</t>
  </si>
  <si>
    <t>Lease Interest</t>
  </si>
  <si>
    <t>Loan Intrest - Mrs.Anjalee</t>
  </si>
  <si>
    <t>Land Loan Interest</t>
  </si>
  <si>
    <t>OD Interest</t>
  </si>
  <si>
    <t>011-2769100 SLT</t>
  </si>
  <si>
    <t>011-2769643 - SLT</t>
  </si>
  <si>
    <t>011-2769644 - SLT</t>
  </si>
  <si>
    <t>011-2813516 SLT</t>
  </si>
  <si>
    <t>Dialog H/Phone Bills</t>
  </si>
  <si>
    <t>Dialog Broad band-114639257</t>
  </si>
  <si>
    <t>Dialog Broad band-114115017</t>
  </si>
  <si>
    <t>Dialog Broad band-114109029</t>
  </si>
  <si>
    <t>Dialog Broad band-114388465</t>
  </si>
  <si>
    <t>Dialog Broad band-114388466</t>
  </si>
  <si>
    <t>Dialog Broad band-114115492</t>
  </si>
  <si>
    <t>Dialog TV</t>
  </si>
  <si>
    <t>Electricity Bills  -109</t>
  </si>
  <si>
    <t>Electricity Bills  -109/1</t>
  </si>
  <si>
    <t>Electricity Bills  Nawala stores</t>
  </si>
  <si>
    <t>Water Bills  109</t>
  </si>
  <si>
    <t>Water Bills  -Nawala Stores</t>
  </si>
  <si>
    <t xml:space="preserve">Computer &amp; Software </t>
  </si>
  <si>
    <t>Bonus Staff</t>
  </si>
  <si>
    <t>Bonuse - Directors</t>
  </si>
  <si>
    <t>Consultation charges</t>
  </si>
  <si>
    <t>EPF</t>
  </si>
  <si>
    <t>ETF</t>
  </si>
  <si>
    <t>EPF  -BENYUE</t>
  </si>
  <si>
    <t>ETF  - BENYUE</t>
  </si>
  <si>
    <t xml:space="preserve">Balance Leave </t>
  </si>
  <si>
    <t>Foring Tour Expences</t>
  </si>
  <si>
    <t>Gift &amp; Donation</t>
  </si>
  <si>
    <t>House Rent - Nawala Stores</t>
  </si>
  <si>
    <t>Insuarance - Bank Garantee Land</t>
  </si>
  <si>
    <t>Labour Charges</t>
  </si>
  <si>
    <t xml:space="preserve">Office Equipment </t>
  </si>
  <si>
    <t>Office Maintainess</t>
  </si>
  <si>
    <t>SHOWROOM CONSTRUCTION Expenses</t>
  </si>
  <si>
    <t>New Stores Expenses</t>
  </si>
  <si>
    <t>Overtime</t>
  </si>
  <si>
    <t>Postage &amp; Commiunication</t>
  </si>
  <si>
    <t>Printing &amp; Stationeries</t>
  </si>
  <si>
    <t>Security Charges</t>
  </si>
  <si>
    <t>Security Charges Nawala Stoes</t>
  </si>
  <si>
    <t>Salary - Director's</t>
  </si>
  <si>
    <t>Allowance - Directors</t>
  </si>
  <si>
    <t>Sharing Of Devidence - Mr.Lasantha</t>
  </si>
  <si>
    <t>Sharing Of Devidence -Mr.Kumara</t>
  </si>
  <si>
    <t>Sharing Of Devidence - Mr.Upul</t>
  </si>
  <si>
    <t>Sharing Of Devidence - Mr.Samith</t>
  </si>
  <si>
    <t>Sharing Of Devidence - Mr.Athula</t>
  </si>
  <si>
    <t>BENYUE SALARY</t>
  </si>
  <si>
    <t xml:space="preserve">BENYUE SALARY  ALLAWANCE </t>
  </si>
  <si>
    <t>Staff Welfair</t>
  </si>
  <si>
    <t>Vehicle Insuarance</t>
  </si>
  <si>
    <t>Desigle -Staff Allowance</t>
  </si>
  <si>
    <t>Desigle -Staff Salaries</t>
  </si>
  <si>
    <t>W.H.TAX</t>
  </si>
  <si>
    <t>Fire / Money in trans/ELECT/STAFF.  Insuarance</t>
  </si>
  <si>
    <t>Travelling &amp; Subsistance/MEAL ALLAWANCE</t>
  </si>
  <si>
    <t>Rates &amp; Taxes/trade tax</t>
  </si>
  <si>
    <t>SALE COMMESIONS DESIGLE</t>
  </si>
  <si>
    <t>SALE COMMESIONS -SHOWROOM</t>
  </si>
  <si>
    <t>Sharing Of Devidence -SALE -DIRECTORS</t>
  </si>
  <si>
    <t>Dialog 4 G BILLS</t>
  </si>
  <si>
    <t>VAT</t>
  </si>
  <si>
    <t>SSCL</t>
  </si>
  <si>
    <t>CBJ 2175</t>
  </si>
  <si>
    <t>CBJ 3508</t>
  </si>
  <si>
    <t>CBJ 1175</t>
  </si>
  <si>
    <t>SALES -DESIGLE</t>
  </si>
  <si>
    <t>SALES - BENYUE</t>
  </si>
  <si>
    <t>TOTAL SALES</t>
  </si>
  <si>
    <t>Date</t>
  </si>
  <si>
    <t>Vch/Bill No</t>
  </si>
  <si>
    <t>Account</t>
  </si>
  <si>
    <t>Type</t>
  </si>
  <si>
    <t>Total Amount</t>
  </si>
  <si>
    <t>Pymt. Amt.</t>
  </si>
  <si>
    <t>Status</t>
  </si>
  <si>
    <t>Notes</t>
  </si>
  <si>
    <t>24-12-2022</t>
  </si>
  <si>
    <t>Bath Décor Nd (Pvt) Ltd - Cr</t>
  </si>
  <si>
    <t>LOCAL PURCHASE</t>
  </si>
  <si>
    <t>Cleared</t>
  </si>
  <si>
    <t xml:space="preserve"> </t>
  </si>
  <si>
    <t>20-12-2022</t>
  </si>
  <si>
    <t>Bath Trade (Pvt) Ltd - Cr</t>
  </si>
  <si>
    <t>B GRN-0137-22/23</t>
  </si>
  <si>
    <t>Benyue International ( Pvt ) Ltd - Cr</t>
  </si>
  <si>
    <t>IMPORT PURCHASE</t>
  </si>
  <si>
    <t>Pending</t>
  </si>
  <si>
    <t>B GRN-0138-22/23</t>
  </si>
  <si>
    <t>B GRN-0139-22/23</t>
  </si>
  <si>
    <t>B GRN-0140-22/23</t>
  </si>
  <si>
    <t>14-12-2022</t>
  </si>
  <si>
    <t>B GRN-0141-22/23</t>
  </si>
  <si>
    <t>16-12-2022</t>
  </si>
  <si>
    <t>B GRN-0142-22/23</t>
  </si>
  <si>
    <t>23-12-2022</t>
  </si>
  <si>
    <t>B GRN-0143-22/23</t>
  </si>
  <si>
    <t>27-12-2022</t>
  </si>
  <si>
    <t>B GRN-0144-22/23</t>
  </si>
  <si>
    <t>28-12-2022</t>
  </si>
  <si>
    <t>B GRN-0145-22/23</t>
  </si>
  <si>
    <t>29-12-2022</t>
  </si>
  <si>
    <t>B GRN-0146-22/23</t>
  </si>
  <si>
    <t>30-12-2022</t>
  </si>
  <si>
    <t>B GRN-0147-22/23</t>
  </si>
  <si>
    <t>Ceramic Kingdom - Cr</t>
  </si>
  <si>
    <t>Grip Nordic (Pvt) Ltd - Cr</t>
  </si>
  <si>
    <t>VAT 15%</t>
  </si>
  <si>
    <t>GTC Holdings International Pvt Ltd - CR</t>
  </si>
  <si>
    <t>Hega Tile (Pvt) Ltd -Cr</t>
  </si>
  <si>
    <t>King Lanka Trading Company - Cr</t>
  </si>
  <si>
    <t>Lakdiv Singer - Cr</t>
  </si>
  <si>
    <t>Partial</t>
  </si>
  <si>
    <t>Milano Marketing Pvt Ltd - CR</t>
  </si>
  <si>
    <t>21-12-2022</t>
  </si>
  <si>
    <t>31-12-2022</t>
  </si>
  <si>
    <t>N. D. N. Service - Cr</t>
  </si>
  <si>
    <t>26-12-2022</t>
  </si>
  <si>
    <t>Posom Ceramiks ( Pvt ) Ltd - Cr</t>
  </si>
  <si>
    <t>Pragash Enterprises -Cr</t>
  </si>
  <si>
    <t>IOR 27</t>
  </si>
  <si>
    <t>RMS SUCCESS GROUP - CR</t>
  </si>
  <si>
    <t>N/A</t>
  </si>
  <si>
    <t>IOR 28</t>
  </si>
  <si>
    <t>Ropecmo ( Pvt ) Ltd - CR</t>
  </si>
  <si>
    <t>S &amp; A Enterprises - Cr</t>
  </si>
  <si>
    <t>Siloka Enterprises - Cr</t>
  </si>
  <si>
    <t>Woo Sun Eco Homes ( Pvt ) Ltd - Cr</t>
  </si>
  <si>
    <t>OR 0029</t>
  </si>
  <si>
    <t>Zhangshan Changde Electric Co.Ltd - CR</t>
  </si>
  <si>
    <t>OR 0030</t>
  </si>
  <si>
    <t>19-12-2022</t>
  </si>
  <si>
    <t>OR 0031</t>
  </si>
  <si>
    <t>OR 0032</t>
  </si>
  <si>
    <t>27-01-2023</t>
  </si>
  <si>
    <t>B GRN-0148-22/23</t>
  </si>
  <si>
    <t>B GRN-0149-22/23</t>
  </si>
  <si>
    <t>B GRN-0150-22/23</t>
  </si>
  <si>
    <t>17-01-2023</t>
  </si>
  <si>
    <t>B GRN-0151-22/23</t>
  </si>
  <si>
    <t>B GRN-0152-22/23</t>
  </si>
  <si>
    <t>19-01-2023</t>
  </si>
  <si>
    <t>B GRN-0153-22/23</t>
  </si>
  <si>
    <t>20-01-2023</t>
  </si>
  <si>
    <t>B GRN-0154-22/23</t>
  </si>
  <si>
    <t>23-01-2023</t>
  </si>
  <si>
    <t>B GRN-0155-22/23</t>
  </si>
  <si>
    <t>B GRN-0156-22/23</t>
  </si>
  <si>
    <t>30-01-2023</t>
  </si>
  <si>
    <t>B GRN-0157-22/23</t>
  </si>
  <si>
    <t>Del House International - Cr</t>
  </si>
  <si>
    <t>26-01-2023</t>
  </si>
  <si>
    <t>13-01-2023</t>
  </si>
  <si>
    <t>FR Marketing (Pvt) Ltd - Cr</t>
  </si>
  <si>
    <t>24-01-2023</t>
  </si>
  <si>
    <t>Marble Décor (Pvt) Ltd - Cr</t>
  </si>
  <si>
    <t>31-01-2023</t>
  </si>
  <si>
    <t>IOR 33</t>
  </si>
  <si>
    <t>IOR 34</t>
  </si>
  <si>
    <t>Imp- 0007</t>
  </si>
  <si>
    <t>Imp-0008</t>
  </si>
  <si>
    <t>28-02-2023</t>
  </si>
  <si>
    <t>13-02-2023</t>
  </si>
  <si>
    <t>B GRN-0158-22/23</t>
  </si>
  <si>
    <t>B GRN-0159-22/23</t>
  </si>
  <si>
    <t>15-02-2023</t>
  </si>
  <si>
    <t>B GRN-0160-22/23</t>
  </si>
  <si>
    <t>16-02-2023</t>
  </si>
  <si>
    <t>B GRN-0161-22/23</t>
  </si>
  <si>
    <t>20-02-2023</t>
  </si>
  <si>
    <t>B GRN-0162-22/23</t>
  </si>
  <si>
    <t>B GRN-0163-22/23</t>
  </si>
  <si>
    <t>B GRN-0164-22/23</t>
  </si>
  <si>
    <t>B GRN-0165-22/23</t>
  </si>
  <si>
    <t>25-02-2023</t>
  </si>
  <si>
    <t>B GRN-0166-22/23</t>
  </si>
  <si>
    <t>Henex Associates ( Pvt ) Ltd - Cr</t>
  </si>
  <si>
    <t>Lgl Marketing Services (Pvt) Ltd - Cr</t>
  </si>
  <si>
    <t>17-02-2023</t>
  </si>
  <si>
    <t>Imp 0010</t>
  </si>
  <si>
    <t>Pearl Precision Products ( Pvt ) Ltd Cr</t>
  </si>
  <si>
    <t>Rsl Distributors - Cr</t>
  </si>
  <si>
    <t>Imp-0009</t>
  </si>
  <si>
    <t>Zhejiang Jiuhuan Sanitary Ware Co.Ltd</t>
  </si>
  <si>
    <t>B GRN-0167-22/23</t>
  </si>
  <si>
    <t>B GRN-0168-22/23</t>
  </si>
  <si>
    <t>B GRN-0169-22/23</t>
  </si>
  <si>
    <t>B GRN-0170-22/23</t>
  </si>
  <si>
    <t>B GRN-0171-22/23</t>
  </si>
  <si>
    <t>16-03-2023</t>
  </si>
  <si>
    <t>B GRN-0172-22/23</t>
  </si>
  <si>
    <t>20-03-2023</t>
  </si>
  <si>
    <t>B GRN-0173-22/23</t>
  </si>
  <si>
    <t>21-03-2023</t>
  </si>
  <si>
    <t>B GRN-0174-22/23</t>
  </si>
  <si>
    <t>25-03-2023</t>
  </si>
  <si>
    <t>B GRN-0175-22/23</t>
  </si>
  <si>
    <t>27-03-2023</t>
  </si>
  <si>
    <t>B GRN-0176-22/23</t>
  </si>
  <si>
    <t>B GRN-0177-22/23</t>
  </si>
  <si>
    <t>31-03-2023</t>
  </si>
  <si>
    <t>B GRN-0178-22/23</t>
  </si>
  <si>
    <t>B GRN-0179-22/23</t>
  </si>
  <si>
    <t>14-03-2023</t>
  </si>
  <si>
    <t>23-03-2023</t>
  </si>
  <si>
    <t>28-03-2023</t>
  </si>
  <si>
    <t>22-03-2023</t>
  </si>
  <si>
    <t>Material Centre</t>
  </si>
  <si>
    <t>B GRN-0001-23/24</t>
  </si>
  <si>
    <t>Nawala Store</t>
  </si>
  <si>
    <t>B GRN-0002-23/24</t>
  </si>
  <si>
    <t>B GRN-0003-23/24</t>
  </si>
  <si>
    <t>Showroom</t>
  </si>
  <si>
    <t>OR0001</t>
  </si>
  <si>
    <t>21-04-2023</t>
  </si>
  <si>
    <t>OR0002</t>
  </si>
  <si>
    <t>22-04-2023</t>
  </si>
  <si>
    <t>OR0003</t>
  </si>
  <si>
    <t>29-04-2023</t>
  </si>
  <si>
    <t>15-05-2023</t>
  </si>
  <si>
    <t>30-05-2023</t>
  </si>
  <si>
    <t>19-05-2023</t>
  </si>
  <si>
    <t>Dankotuwa Porcelain</t>
  </si>
  <si>
    <t>18-05-2023</t>
  </si>
  <si>
    <t>Delmege Forsyth &amp; Co.Ltd - Cr</t>
  </si>
  <si>
    <t>23-05-2023</t>
  </si>
  <si>
    <t>26-05-2023</t>
  </si>
  <si>
    <t>17-05-2023</t>
  </si>
  <si>
    <t>Mihiran &amp; Company - CR</t>
  </si>
  <si>
    <t>22-05-2023</t>
  </si>
  <si>
    <t>24-05-2023</t>
  </si>
  <si>
    <t>OR0004</t>
  </si>
  <si>
    <t>Imp 0001</t>
  </si>
  <si>
    <t>Imp-0003</t>
  </si>
  <si>
    <t>OR0006</t>
  </si>
  <si>
    <t>25-05-2023</t>
  </si>
  <si>
    <t>RMS Success Group Local Pte Ltd.</t>
  </si>
  <si>
    <t>31-05-2023</t>
  </si>
  <si>
    <t>Uthesh Hardware</t>
  </si>
  <si>
    <t>OR0005</t>
  </si>
  <si>
    <t>ADMINISTRATIVE EXPENCES</t>
  </si>
  <si>
    <t>SELLING &amp; DISTRIBUTION EXPENCES</t>
  </si>
  <si>
    <t>FINANACIAL EXPENCES</t>
  </si>
  <si>
    <t>Gratuity Payment</t>
  </si>
  <si>
    <t>Debit(Rs.)</t>
  </si>
  <si>
    <t>Credit(Rs.)</t>
  </si>
  <si>
    <t>Short Narration</t>
  </si>
  <si>
    <t xml:space="preserve"> 17-01-2023</t>
  </si>
  <si>
    <t>Pymt</t>
  </si>
  <si>
    <t>1604-22/23</t>
  </si>
  <si>
    <t>Yangshang Sanitaryware ( Pvt ) Ltd - Cr</t>
  </si>
  <si>
    <t>Advance payment EU 03/04  2022/23</t>
  </si>
  <si>
    <t xml:space="preserve"> 12-01-2023</t>
  </si>
  <si>
    <t>1599-22/23</t>
  </si>
  <si>
    <t>IMPORT NO 09  2022/23</t>
  </si>
  <si>
    <t xml:space="preserve"> 18-01-2023</t>
  </si>
  <si>
    <t>1606-22/23</t>
  </si>
  <si>
    <t>Balance pay Import no 07 2022/23</t>
  </si>
  <si>
    <t xml:space="preserve"> 27-03-2023</t>
  </si>
  <si>
    <t>1972-22/23</t>
  </si>
  <si>
    <t>Wenzhow Benyoo Impo.exp Co.Ltd - Cr</t>
  </si>
  <si>
    <t xml:space="preserve"> 28-02-2023</t>
  </si>
  <si>
    <t>Jrnl</t>
  </si>
  <si>
    <t>Eu 004  for seasonal sale</t>
  </si>
  <si>
    <t>1603-22/23</t>
  </si>
  <si>
    <t>Advance payment EU 05  2022/23</t>
  </si>
  <si>
    <t xml:space="preserve"> 24-03-2023</t>
  </si>
  <si>
    <t>1979-22/23</t>
  </si>
  <si>
    <t>BALANCE PAYMENT - EU 04</t>
  </si>
  <si>
    <t>HNB 958-0005-22/23</t>
  </si>
  <si>
    <t xml:space="preserve"> 12-12-2022</t>
  </si>
  <si>
    <t>HNB 936-380-22/23</t>
  </si>
  <si>
    <t>Jubo Engineering Metirials Ltd.</t>
  </si>
  <si>
    <t>Local purchrse</t>
  </si>
  <si>
    <t xml:space="preserve"> 31-05-2023</t>
  </si>
  <si>
    <t>0145-23/24</t>
  </si>
  <si>
    <t xml:space="preserve"> 03-04-2023</t>
  </si>
  <si>
    <t>0105-23/24</t>
  </si>
  <si>
    <t>Ariston  advance</t>
  </si>
  <si>
    <t>28-06-2023</t>
  </si>
  <si>
    <t>14-06-2023</t>
  </si>
  <si>
    <t>23-06-2023</t>
  </si>
  <si>
    <t>26-06-2023</t>
  </si>
  <si>
    <t>15-06-2023</t>
  </si>
  <si>
    <t>OR00012</t>
  </si>
  <si>
    <t>OR00013</t>
  </si>
  <si>
    <t>13-06-2023</t>
  </si>
  <si>
    <t>OR00014</t>
  </si>
  <si>
    <t>OR00015</t>
  </si>
  <si>
    <t>20-06-2023</t>
  </si>
  <si>
    <t>OR0016</t>
  </si>
  <si>
    <t>OR00017</t>
  </si>
  <si>
    <t>29-06-2023</t>
  </si>
  <si>
    <t>OR00018</t>
  </si>
  <si>
    <t>Royal Collection</t>
  </si>
  <si>
    <t>24-06-2023</t>
  </si>
  <si>
    <t>PRSW-0008-23/24</t>
  </si>
  <si>
    <t>PRSW-0009-23/24</t>
  </si>
  <si>
    <t>PRSW-0010-23/24</t>
  </si>
  <si>
    <t>18-07-2023</t>
  </si>
  <si>
    <t>14-07-2023</t>
  </si>
  <si>
    <t>15-07-2023</t>
  </si>
  <si>
    <t>Imp0006</t>
  </si>
  <si>
    <t>13-07-2023</t>
  </si>
  <si>
    <t>17-07-2023</t>
  </si>
  <si>
    <t>IMP0005</t>
  </si>
  <si>
    <t>Wenzhou Benyoo Imp &amp; Exp Co.Ltd - Cr</t>
  </si>
  <si>
    <t>IMP0004</t>
  </si>
  <si>
    <t>OR0020</t>
  </si>
  <si>
    <t>Zhougshan Changd Electric Co.Ltd - Cr</t>
  </si>
  <si>
    <t>PRSW-0011-23/24</t>
  </si>
  <si>
    <t>26-07-2023</t>
  </si>
  <si>
    <t>PRSW-0012-23/24</t>
  </si>
  <si>
    <t>Euro Flex Hardware</t>
  </si>
  <si>
    <t>Import</t>
  </si>
  <si>
    <t>20-07-2023</t>
  </si>
  <si>
    <t>Dealer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</si>
</sst>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[$-409]d\-m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vertical="top"/>
    </xf>
    <xf numFmtId="0" fontId="4" fillId="0" borderId="1" xfId="0" applyFont="1" applyBorder="1" applyAlignment="1">
      <alignment horizontal="left"/>
    </xf>
    <xf numFmtId="0" fontId="0" fillId="0" borderId="1" xfId="0" applyBorder="1"/>
    <xf numFmtId="0" fontId="7" fillId="0" borderId="1" xfId="0" applyFont="1" applyBorder="1"/>
    <xf numFmtId="0" fontId="8" fillId="0" borderId="1" xfId="0" applyFont="1" applyBorder="1" applyAlignment="1">
      <alignment horizontal="left"/>
    </xf>
    <xf numFmtId="0" fontId="7" fillId="0" borderId="1" xfId="0" applyFont="1" applyBorder="1" applyAlignment="1">
      <alignment vertical="top"/>
    </xf>
    <xf numFmtId="43" fontId="9" fillId="0" borderId="1" xfId="1" applyFont="1" applyFill="1" applyBorder="1" applyAlignment="1">
      <alignment horizontal="right"/>
    </xf>
    <xf numFmtId="43" fontId="0" fillId="0" borderId="1" xfId="1" applyFont="1" applyBorder="1"/>
    <xf numFmtId="43" fontId="0" fillId="0" borderId="0" xfId="1" applyFont="1"/>
    <xf numFmtId="16" fontId="2" fillId="0" borderId="1" xfId="1" applyNumberFormat="1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43" fontId="3" fillId="0" borderId="1" xfId="1" applyFont="1" applyBorder="1" applyAlignment="1">
      <alignment horizontal="left"/>
    </xf>
    <xf numFmtId="43" fontId="0" fillId="0" borderId="1" xfId="1" applyFont="1" applyBorder="1" applyAlignment="1">
      <alignment vertical="top"/>
    </xf>
    <xf numFmtId="43" fontId="4" fillId="0" borderId="1" xfId="1" applyFont="1" applyBorder="1" applyAlignment="1">
      <alignment horizontal="left"/>
    </xf>
    <xf numFmtId="164" fontId="2" fillId="0" borderId="1" xfId="1" applyNumberFormat="1" applyFont="1" applyBorder="1" applyAlignment="1">
      <alignment horizontal="center"/>
    </xf>
    <xf numFmtId="43" fontId="2" fillId="0" borderId="0" xfId="1" applyFont="1"/>
    <xf numFmtId="14" fontId="2" fillId="0" borderId="1" xfId="1" applyNumberFormat="1" applyFont="1" applyBorder="1" applyAlignment="1">
      <alignment horizontal="center"/>
    </xf>
    <xf numFmtId="43" fontId="2" fillId="0" borderId="2" xfId="1" applyFont="1" applyBorder="1"/>
    <xf numFmtId="43" fontId="2" fillId="0" borderId="3" xfId="1" applyFont="1" applyBorder="1"/>
    <xf numFmtId="0" fontId="3" fillId="0" borderId="0" xfId="0" applyFont="1" applyAlignment="1">
      <alignment horizontal="left"/>
    </xf>
    <xf numFmtId="43" fontId="3" fillId="0" borderId="4" xfId="1" applyFont="1" applyBorder="1" applyAlignment="1">
      <alignment horizontal="left"/>
    </xf>
    <xf numFmtId="43" fontId="0" fillId="0" borderId="4" xfId="1" applyFont="1" applyBorder="1"/>
    <xf numFmtId="43" fontId="0" fillId="0" borderId="0" xfId="0" applyNumberFormat="1"/>
    <xf numFmtId="0" fontId="2" fillId="0" borderId="0" xfId="0" applyFont="1"/>
    <xf numFmtId="0" fontId="2" fillId="0" borderId="1" xfId="0" applyFont="1" applyBorder="1"/>
    <xf numFmtId="43" fontId="2" fillId="0" borderId="3" xfId="0" applyNumberFormat="1" applyFont="1" applyBorder="1"/>
    <xf numFmtId="4" fontId="0" fillId="0" borderId="0" xfId="0" applyNumberForma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2" fontId="0" fillId="0" borderId="0" xfId="0" applyNumberFormat="1"/>
    <xf numFmtId="0" fontId="0" fillId="0" borderId="5" xfId="0" applyBorder="1"/>
    <xf numFmtId="43" fontId="0" fillId="0" borderId="5" xfId="1" applyFont="1" applyBorder="1"/>
    <xf numFmtId="0" fontId="0" fillId="0" borderId="6" xfId="0" applyBorder="1" applyAlignment="1">
      <alignment vertical="top"/>
    </xf>
    <xf numFmtId="43" fontId="0" fillId="0" borderId="6" xfId="1" applyFont="1" applyBorder="1" applyAlignment="1">
      <alignment vertical="top"/>
    </xf>
    <xf numFmtId="43" fontId="0" fillId="0" borderId="6" xfId="1" applyFont="1" applyBorder="1"/>
    <xf numFmtId="0" fontId="0" fillId="0" borderId="7" xfId="0" applyBorder="1"/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43" fontId="3" fillId="0" borderId="11" xfId="1" applyFont="1" applyBorder="1" applyAlignment="1">
      <alignment horizontal="left"/>
    </xf>
    <xf numFmtId="43" fontId="0" fillId="0" borderId="11" xfId="1" applyFont="1" applyBorder="1"/>
    <xf numFmtId="43" fontId="2" fillId="0" borderId="2" xfId="0" applyNumberFormat="1" applyFont="1" applyBorder="1"/>
    <xf numFmtId="43" fontId="0" fillId="0" borderId="12" xfId="1" applyFont="1" applyFill="1" applyBorder="1"/>
    <xf numFmtId="0" fontId="2" fillId="0" borderId="0" xfId="0" applyFont="1" applyAlignment="1">
      <alignment horizontal="left"/>
    </xf>
    <xf numFmtId="14" fontId="2" fillId="0" borderId="13" xfId="1" applyNumberFormat="1" applyFont="1" applyBorder="1" applyAlignment="1">
      <alignment horizontal="center"/>
    </xf>
    <xf numFmtId="43" fontId="0" fillId="0" borderId="14" xfId="1" applyFont="1" applyBorder="1"/>
    <xf numFmtId="43" fontId="0" fillId="0" borderId="17" xfId="1" applyFont="1" applyBorder="1"/>
    <xf numFmtId="43" fontId="0" fillId="0" borderId="16" xfId="1" applyFont="1" applyBorder="1"/>
    <xf numFmtId="43" fontId="0" fillId="0" borderId="13" xfId="1" applyFont="1" applyBorder="1"/>
    <xf numFmtId="43" fontId="3" fillId="0" borderId="13" xfId="1" applyFont="1" applyBorder="1" applyAlignment="1">
      <alignment horizontal="left"/>
    </xf>
    <xf numFmtId="43" fontId="0" fillId="0" borderId="0" xfId="1" applyFont="1" applyBorder="1"/>
    <xf numFmtId="43" fontId="0" fillId="0" borderId="0" xfId="1" applyFont="1" applyBorder="1" applyAlignment="1">
      <alignment horizontal="center"/>
    </xf>
    <xf numFmtId="43" fontId="0" fillId="0" borderId="18" xfId="1" applyFont="1" applyBorder="1" applyAlignment="1">
      <alignment horizontal="center"/>
    </xf>
    <xf numFmtId="43" fontId="4" fillId="0" borderId="1" xfId="1" applyFont="1" applyBorder="1"/>
    <xf numFmtId="0" fontId="0" fillId="0" borderId="0" xfId="0" applyAlignment="1">
      <alignment horizontal="center"/>
    </xf>
    <xf numFmtId="4" fontId="0" fillId="2" borderId="0" xfId="0" applyNumberFormat="1" applyFill="1"/>
    <xf numFmtId="4" fontId="0" fillId="0" borderId="1" xfId="0" applyNumberFormat="1" applyBorder="1"/>
    <xf numFmtId="43" fontId="0" fillId="0" borderId="15" xfId="1" applyFont="1" applyBorder="1" applyAlignment="1">
      <alignment horizontal="center"/>
    </xf>
    <xf numFmtId="43" fontId="0" fillId="0" borderId="16" xfId="1" applyFont="1" applyBorder="1" applyAlignment="1">
      <alignment horizontal="center"/>
    </xf>
    <xf numFmtId="43" fontId="3" fillId="0" borderId="8" xfId="1" applyFont="1" applyBorder="1" applyAlignment="1">
      <alignment horizontal="center"/>
    </xf>
    <xf numFmtId="43" fontId="3" fillId="0" borderId="6" xfId="1" applyFont="1" applyBorder="1" applyAlignment="1">
      <alignment horizontal="center"/>
    </xf>
    <xf numFmtId="43" fontId="0" fillId="0" borderId="8" xfId="1" applyFont="1" applyBorder="1" applyAlignment="1">
      <alignment horizontal="center"/>
    </xf>
    <xf numFmtId="43" fontId="0" fillId="0" borderId="6" xfId="1" applyFont="1" applyBorder="1" applyAlignment="1">
      <alignment horizontal="center"/>
    </xf>
    <xf numFmtId="43" fontId="2" fillId="0" borderId="1" xfId="1" applyFont="1" applyBorder="1"/>
    <xf numFmtId="43" fontId="10" fillId="0" borderId="3" xfId="0" applyNumberFormat="1" applyFont="1" applyBorder="1"/>
    <xf numFmtId="43" fontId="0" fillId="3" borderId="1" xfId="1" applyFont="1" applyFill="1" applyBorder="1"/>
    <xf numFmtId="43" fontId="0" fillId="2" borderId="1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F6780-EE3E-481E-B6BC-2DFD481AE11C}">
  <sheetPr>
    <tabColor rgb="FF00B050"/>
  </sheetPr>
  <dimension ref="A1:M64"/>
  <sheetViews>
    <sheetView view="pageBreakPreview" zoomScale="96" zoomScaleNormal="100" zoomScaleSheetLayoutView="96" workbookViewId="0">
      <selection activeCell="A21" sqref="A21"/>
    </sheetView>
  </sheetViews>
  <sheetFormatPr defaultRowHeight="15" x14ac:dyDescent="0.25"/>
  <cols>
    <col min="1" max="1" width="39.5703125" customWidth="1"/>
    <col min="2" max="2" width="15.5703125" style="10" customWidth="1"/>
    <col min="3" max="3" width="14.28515625" style="10" customWidth="1"/>
    <col min="4" max="4" width="13.42578125" style="10" customWidth="1"/>
    <col min="5" max="6" width="14.85546875" style="10" customWidth="1"/>
    <col min="7" max="7" width="14.42578125" style="10" customWidth="1"/>
    <col min="8" max="9" width="14.85546875" style="10" customWidth="1"/>
    <col min="13" max="13" width="13.28515625" style="10" bestFit="1" customWidth="1"/>
  </cols>
  <sheetData>
    <row r="1" spans="1:13" x14ac:dyDescent="0.25">
      <c r="A1" s="25" t="s">
        <v>263</v>
      </c>
      <c r="B1" s="16">
        <v>44926</v>
      </c>
      <c r="C1" s="11">
        <v>44949</v>
      </c>
      <c r="D1" s="11">
        <v>44980</v>
      </c>
      <c r="E1" s="11">
        <v>45008</v>
      </c>
      <c r="F1" s="11">
        <v>45039</v>
      </c>
      <c r="G1" s="11">
        <v>45069</v>
      </c>
      <c r="H1" s="11">
        <v>45100</v>
      </c>
      <c r="I1" s="11">
        <v>45130</v>
      </c>
    </row>
    <row r="2" spans="1:13" hidden="1" x14ac:dyDescent="0.25">
      <c r="A2" s="4" t="s">
        <v>23</v>
      </c>
      <c r="B2" s="9">
        <v>0</v>
      </c>
      <c r="C2" s="9">
        <v>0</v>
      </c>
      <c r="D2" s="9">
        <v>0</v>
      </c>
      <c r="E2" s="9">
        <v>0</v>
      </c>
      <c r="F2" s="9">
        <v>0</v>
      </c>
      <c r="G2" s="9">
        <v>0</v>
      </c>
      <c r="H2" s="9"/>
      <c r="I2" s="9"/>
    </row>
    <row r="3" spans="1:13" hidden="1" x14ac:dyDescent="0.25">
      <c r="A3" s="4" t="s">
        <v>24</v>
      </c>
      <c r="B3" s="9">
        <v>0</v>
      </c>
      <c r="C3" s="9">
        <v>0</v>
      </c>
      <c r="D3" s="9">
        <v>0</v>
      </c>
      <c r="E3" s="9">
        <v>0</v>
      </c>
      <c r="F3" s="9">
        <v>0</v>
      </c>
      <c r="G3" s="9">
        <v>0</v>
      </c>
      <c r="H3" s="9"/>
      <c r="I3" s="9"/>
    </row>
    <row r="4" spans="1:13" hidden="1" x14ac:dyDescent="0.25">
      <c r="A4" s="4" t="s">
        <v>25</v>
      </c>
      <c r="B4" s="9">
        <v>0</v>
      </c>
      <c r="C4" s="9">
        <v>0</v>
      </c>
      <c r="D4" s="9">
        <v>0</v>
      </c>
      <c r="E4" s="9">
        <v>0</v>
      </c>
      <c r="F4" s="9">
        <v>0</v>
      </c>
      <c r="G4" s="9">
        <v>0</v>
      </c>
      <c r="H4" s="9"/>
      <c r="I4" s="9"/>
    </row>
    <row r="5" spans="1:13" hidden="1" x14ac:dyDescent="0.25">
      <c r="A5" s="4" t="s">
        <v>26</v>
      </c>
      <c r="B5" s="9">
        <v>0</v>
      </c>
      <c r="C5" s="9">
        <v>0</v>
      </c>
      <c r="D5" s="9">
        <v>0</v>
      </c>
      <c r="E5" s="9">
        <v>0</v>
      </c>
      <c r="F5" s="9">
        <v>0</v>
      </c>
      <c r="G5" s="9">
        <v>0</v>
      </c>
      <c r="H5" s="9"/>
      <c r="I5" s="9"/>
    </row>
    <row r="6" spans="1:13" x14ac:dyDescent="0.25">
      <c r="A6" s="4" t="s">
        <v>27</v>
      </c>
      <c r="B6" s="9">
        <v>88522</v>
      </c>
      <c r="C6" s="9">
        <v>67380</v>
      </c>
      <c r="D6" s="9">
        <v>63880</v>
      </c>
      <c r="E6" s="9">
        <v>73429</v>
      </c>
      <c r="F6" s="9">
        <v>68786</v>
      </c>
      <c r="G6" s="9">
        <v>68741</v>
      </c>
      <c r="H6" s="9">
        <v>56332</v>
      </c>
      <c r="I6" s="9">
        <v>56275</v>
      </c>
    </row>
    <row r="7" spans="1:13" ht="16.5" customHeight="1" x14ac:dyDescent="0.25">
      <c r="A7" s="4" t="s">
        <v>83</v>
      </c>
      <c r="B7" s="9">
        <v>42070</v>
      </c>
      <c r="C7" s="9">
        <v>19539</v>
      </c>
      <c r="D7" s="9">
        <v>23912</v>
      </c>
      <c r="E7" s="9">
        <v>11777</v>
      </c>
      <c r="F7" s="9">
        <f>8418+3664</f>
        <v>12082</v>
      </c>
      <c r="G7" s="9">
        <v>14892</v>
      </c>
      <c r="H7" s="9">
        <f>9615.15+1685.04+3114.24</f>
        <v>14414.429999999998</v>
      </c>
      <c r="I7" s="9">
        <f>11482.35+1685.04+3114.24</f>
        <v>16281.63</v>
      </c>
    </row>
    <row r="8" spans="1:13" hidden="1" x14ac:dyDescent="0.25">
      <c r="A8" s="4" t="s">
        <v>28</v>
      </c>
      <c r="B8" s="9"/>
      <c r="C8" s="9"/>
      <c r="D8" s="9"/>
      <c r="E8" s="9"/>
      <c r="F8" s="9"/>
      <c r="G8" s="9"/>
      <c r="H8" s="9"/>
      <c r="I8" s="9"/>
    </row>
    <row r="9" spans="1:13" hidden="1" x14ac:dyDescent="0.25">
      <c r="A9" s="4" t="s">
        <v>29</v>
      </c>
      <c r="B9" s="9"/>
      <c r="C9" s="9"/>
      <c r="D9" s="9"/>
      <c r="E9" s="9"/>
      <c r="F9" s="9"/>
      <c r="G9" s="9"/>
      <c r="H9" s="9"/>
      <c r="I9" s="9"/>
    </row>
    <row r="10" spans="1:13" hidden="1" x14ac:dyDescent="0.25">
      <c r="A10" s="4" t="s">
        <v>30</v>
      </c>
      <c r="B10" s="9"/>
      <c r="C10" s="9"/>
      <c r="D10" s="9"/>
      <c r="E10" s="9"/>
      <c r="F10" s="9"/>
      <c r="G10" s="9"/>
      <c r="H10" s="9"/>
      <c r="I10" s="9"/>
    </row>
    <row r="11" spans="1:13" hidden="1" x14ac:dyDescent="0.25">
      <c r="A11" s="4" t="s">
        <v>31</v>
      </c>
      <c r="B11" s="9"/>
      <c r="C11" s="9"/>
      <c r="D11" s="9"/>
      <c r="E11" s="9"/>
      <c r="F11" s="9"/>
      <c r="G11" s="9"/>
      <c r="H11" s="9"/>
      <c r="I11" s="9"/>
    </row>
    <row r="12" spans="1:13" hidden="1" x14ac:dyDescent="0.25">
      <c r="A12" s="4" t="s">
        <v>32</v>
      </c>
      <c r="B12" s="9"/>
      <c r="C12" s="9"/>
      <c r="D12" s="9"/>
      <c r="E12" s="9"/>
      <c r="F12" s="9"/>
      <c r="G12" s="9"/>
      <c r="H12" s="9"/>
      <c r="I12" s="9"/>
    </row>
    <row r="13" spans="1:13" hidden="1" x14ac:dyDescent="0.25">
      <c r="A13" s="4" t="s">
        <v>33</v>
      </c>
      <c r="B13" s="9"/>
      <c r="C13" s="9"/>
      <c r="D13" s="9"/>
      <c r="E13" s="9"/>
      <c r="F13" s="9"/>
      <c r="G13" s="9"/>
      <c r="H13" s="9"/>
      <c r="I13" s="9"/>
    </row>
    <row r="14" spans="1:13" x14ac:dyDescent="0.25">
      <c r="A14" s="4" t="s">
        <v>34</v>
      </c>
      <c r="B14" s="9"/>
      <c r="C14" s="9"/>
      <c r="D14" s="9">
        <v>10000</v>
      </c>
      <c r="E14" s="9">
        <v>5335</v>
      </c>
      <c r="F14" s="9">
        <v>3664</v>
      </c>
      <c r="G14" s="9">
        <v>5163</v>
      </c>
      <c r="H14" s="9">
        <v>3598.66</v>
      </c>
      <c r="I14" s="9">
        <v>3598.66</v>
      </c>
    </row>
    <row r="15" spans="1:13" x14ac:dyDescent="0.25">
      <c r="A15" s="4" t="s">
        <v>35</v>
      </c>
      <c r="B15" s="9">
        <v>99249.24</v>
      </c>
      <c r="C15" s="9">
        <v>97337.94</v>
      </c>
      <c r="D15" s="9">
        <v>93077</v>
      </c>
      <c r="E15" s="9">
        <v>152846</v>
      </c>
      <c r="F15" s="9">
        <v>193454</v>
      </c>
      <c r="G15" s="9">
        <v>161986</v>
      </c>
      <c r="H15" s="9">
        <v>204579.25</v>
      </c>
      <c r="I15" s="9">
        <v>187276.23</v>
      </c>
      <c r="M15" s="10">
        <v>1005000</v>
      </c>
    </row>
    <row r="16" spans="1:13" x14ac:dyDescent="0.25">
      <c r="A16" s="4" t="s">
        <v>36</v>
      </c>
      <c r="B16" s="9">
        <v>12939</v>
      </c>
      <c r="C16" s="9">
        <v>15887</v>
      </c>
      <c r="D16" s="9">
        <v>15857</v>
      </c>
      <c r="E16" s="9">
        <v>19178</v>
      </c>
      <c r="F16" s="9">
        <v>29424</v>
      </c>
      <c r="G16" s="9">
        <v>23467</v>
      </c>
      <c r="H16" s="9">
        <v>31614</v>
      </c>
      <c r="I16" s="9">
        <v>23505</v>
      </c>
      <c r="M16" s="10">
        <v>513466</v>
      </c>
    </row>
    <row r="17" spans="1:13" x14ac:dyDescent="0.25">
      <c r="A17" s="4" t="s">
        <v>37</v>
      </c>
      <c r="B17" s="9">
        <v>14536</v>
      </c>
      <c r="C17" s="9">
        <v>14044</v>
      </c>
      <c r="D17" s="9">
        <v>15207</v>
      </c>
      <c r="E17" s="9">
        <v>17929</v>
      </c>
      <c r="F17" s="9">
        <v>21946</v>
      </c>
      <c r="G17" s="9">
        <v>19133</v>
      </c>
      <c r="H17" s="9">
        <v>22760</v>
      </c>
      <c r="I17" s="9">
        <v>24630</v>
      </c>
      <c r="M17" s="10">
        <v>190000</v>
      </c>
    </row>
    <row r="18" spans="1:13" x14ac:dyDescent="0.25">
      <c r="A18" s="4" t="s">
        <v>38</v>
      </c>
      <c r="B18" s="9">
        <v>5863</v>
      </c>
      <c r="C18" s="9">
        <v>5619</v>
      </c>
      <c r="D18" s="9">
        <v>5463</v>
      </c>
      <c r="E18" s="9">
        <v>6997</v>
      </c>
      <c r="F18" s="9">
        <v>5019</v>
      </c>
      <c r="G18" s="9">
        <v>5730</v>
      </c>
      <c r="H18" s="9">
        <v>5841.81</v>
      </c>
      <c r="I18" s="9">
        <v>5997.25</v>
      </c>
      <c r="M18" s="10">
        <v>1895000</v>
      </c>
    </row>
    <row r="19" spans="1:13" x14ac:dyDescent="0.25">
      <c r="A19" s="4" t="s">
        <v>39</v>
      </c>
      <c r="B19" s="9">
        <v>6530</v>
      </c>
      <c r="C19" s="9">
        <v>5597</v>
      </c>
      <c r="D19" s="9">
        <v>5863</v>
      </c>
      <c r="E19" s="9">
        <v>5730</v>
      </c>
      <c r="F19" s="9">
        <v>5997</v>
      </c>
      <c r="G19" s="9">
        <v>5730</v>
      </c>
      <c r="H19" s="9">
        <v>5863.85</v>
      </c>
      <c r="I19" s="9">
        <v>5863.85</v>
      </c>
      <c r="M19" s="10">
        <f>SUM(M15:M18)</f>
        <v>3603466</v>
      </c>
    </row>
    <row r="20" spans="1:13" x14ac:dyDescent="0.25">
      <c r="A20" s="4" t="s">
        <v>40</v>
      </c>
      <c r="B20" s="9">
        <v>20730</v>
      </c>
      <c r="C20" s="9">
        <f>9500+20730</f>
        <v>30230</v>
      </c>
      <c r="D20" s="9">
        <f>20730+355000</f>
        <v>375730</v>
      </c>
      <c r="E20" s="9">
        <v>20730</v>
      </c>
      <c r="F20" s="9">
        <v>20730</v>
      </c>
      <c r="G20" s="9">
        <v>20730</v>
      </c>
      <c r="H20" s="9">
        <f>20730+35500</f>
        <v>56230</v>
      </c>
      <c r="I20" s="54">
        <v>20730</v>
      </c>
    </row>
    <row r="21" spans="1:13" x14ac:dyDescent="0.25">
      <c r="A21" s="4" t="s">
        <v>41</v>
      </c>
      <c r="B21" s="9"/>
      <c r="C21" s="9"/>
      <c r="D21" s="9"/>
      <c r="E21" s="9"/>
      <c r="F21" s="9">
        <v>1060000</v>
      </c>
      <c r="G21" s="9"/>
      <c r="H21" s="9"/>
      <c r="I21" s="9"/>
    </row>
    <row r="22" spans="1:13" x14ac:dyDescent="0.25">
      <c r="A22" s="4" t="s">
        <v>42</v>
      </c>
      <c r="B22" s="9"/>
      <c r="C22" s="9"/>
      <c r="D22" s="9"/>
      <c r="E22" s="9"/>
      <c r="F22" s="9">
        <v>2723750</v>
      </c>
      <c r="G22" s="9"/>
      <c r="H22" s="9"/>
      <c r="I22" s="9"/>
    </row>
    <row r="23" spans="1:13" x14ac:dyDescent="0.25">
      <c r="A23" s="4" t="s">
        <v>43</v>
      </c>
      <c r="B23" s="9">
        <v>125000</v>
      </c>
      <c r="C23" s="9">
        <v>125000</v>
      </c>
      <c r="D23" s="9">
        <v>125000</v>
      </c>
      <c r="E23" s="9">
        <f>125000+26500</f>
        <v>151500</v>
      </c>
      <c r="F23" s="9">
        <v>125000</v>
      </c>
      <c r="G23" s="9">
        <v>125000</v>
      </c>
      <c r="H23" s="9">
        <v>125000</v>
      </c>
      <c r="I23" s="9">
        <v>125000</v>
      </c>
    </row>
    <row r="24" spans="1:13" x14ac:dyDescent="0.25">
      <c r="A24" s="4" t="s">
        <v>44</v>
      </c>
      <c r="B24" s="9">
        <f>(B46+B55)*15%</f>
        <v>256687.5</v>
      </c>
      <c r="C24" s="9">
        <f>(C46+C55)*15%</f>
        <v>258438.59999999998</v>
      </c>
      <c r="D24" s="9">
        <f t="shared" ref="D24:F24" si="0">(D46+D55)*15%</f>
        <v>258637.5</v>
      </c>
      <c r="E24" s="9">
        <f>(E46+E55)*15%</f>
        <v>258637.5</v>
      </c>
      <c r="F24" s="9">
        <f t="shared" si="0"/>
        <v>258637.5</v>
      </c>
      <c r="G24" s="9">
        <f>(G46+G55)*15%</f>
        <v>258637.5</v>
      </c>
      <c r="H24" s="9">
        <f>(H46+H55)*15%</f>
        <v>254869.5</v>
      </c>
      <c r="I24" s="9">
        <f>(I46+I55)*15%</f>
        <v>257325</v>
      </c>
    </row>
    <row r="25" spans="1:13" x14ac:dyDescent="0.25">
      <c r="A25" s="4" t="s">
        <v>45</v>
      </c>
      <c r="B25" s="9">
        <f>(B46+B55)*3%</f>
        <v>51337.5</v>
      </c>
      <c r="C25" s="9">
        <f t="shared" ref="C25:G25" si="1">(C46+C55)*3%</f>
        <v>51687.72</v>
      </c>
      <c r="D25" s="9">
        <f t="shared" si="1"/>
        <v>51727.5</v>
      </c>
      <c r="E25" s="9">
        <f t="shared" si="1"/>
        <v>51727.5</v>
      </c>
      <c r="F25" s="9">
        <f t="shared" si="1"/>
        <v>51727.5</v>
      </c>
      <c r="G25" s="9">
        <f t="shared" si="1"/>
        <v>51727.5</v>
      </c>
      <c r="H25" s="9">
        <f t="shared" ref="H25:I25" si="2">(H46+H55)*3%</f>
        <v>50973.9</v>
      </c>
      <c r="I25" s="9">
        <f t="shared" si="2"/>
        <v>51465</v>
      </c>
    </row>
    <row r="26" spans="1:13" x14ac:dyDescent="0.25">
      <c r="A26" s="4" t="s">
        <v>46</v>
      </c>
      <c r="B26" s="9">
        <f>B56*15%</f>
        <v>99225</v>
      </c>
      <c r="C26" s="9">
        <f t="shared" ref="C26:G26" si="3">C56*15%</f>
        <v>99225</v>
      </c>
      <c r="D26" s="9">
        <f t="shared" si="3"/>
        <v>99225</v>
      </c>
      <c r="E26" s="9">
        <f t="shared" si="3"/>
        <v>99225</v>
      </c>
      <c r="F26" s="9">
        <f t="shared" si="3"/>
        <v>99225</v>
      </c>
      <c r="G26" s="9">
        <f t="shared" si="3"/>
        <v>99225</v>
      </c>
      <c r="H26" s="9">
        <f t="shared" ref="H26:I26" si="4">H56*15%</f>
        <v>99225</v>
      </c>
      <c r="I26" s="9">
        <f t="shared" si="4"/>
        <v>99225</v>
      </c>
    </row>
    <row r="27" spans="1:13" x14ac:dyDescent="0.25">
      <c r="A27" s="4" t="s">
        <v>47</v>
      </c>
      <c r="B27" s="9">
        <f>B56*3%</f>
        <v>19845</v>
      </c>
      <c r="C27" s="9">
        <f t="shared" ref="C27:G27" si="5">C56*3%</f>
        <v>19845</v>
      </c>
      <c r="D27" s="9">
        <f t="shared" si="5"/>
        <v>19845</v>
      </c>
      <c r="E27" s="9">
        <f t="shared" si="5"/>
        <v>19845</v>
      </c>
      <c r="F27" s="9">
        <f t="shared" si="5"/>
        <v>19845</v>
      </c>
      <c r="G27" s="9">
        <f t="shared" si="5"/>
        <v>19845</v>
      </c>
      <c r="H27" s="9">
        <f t="shared" ref="H27:I27" si="6">H56*3%</f>
        <v>19845</v>
      </c>
      <c r="I27" s="9">
        <f t="shared" si="6"/>
        <v>19845</v>
      </c>
    </row>
    <row r="28" spans="1:13" x14ac:dyDescent="0.25">
      <c r="A28" s="4" t="s">
        <v>266</v>
      </c>
      <c r="B28" s="9"/>
      <c r="C28" s="9">
        <v>126620</v>
      </c>
      <c r="D28" s="9"/>
      <c r="E28" s="9"/>
      <c r="F28" s="9"/>
      <c r="G28" s="9">
        <v>92000</v>
      </c>
      <c r="H28" s="9"/>
      <c r="I28" s="9"/>
    </row>
    <row r="29" spans="1:13" x14ac:dyDescent="0.25">
      <c r="A29" s="4" t="s">
        <v>48</v>
      </c>
      <c r="B29" s="9"/>
      <c r="C29" s="9">
        <v>186706</v>
      </c>
      <c r="D29" s="9"/>
      <c r="E29" s="9"/>
      <c r="F29" s="9"/>
      <c r="G29" s="9"/>
      <c r="H29" s="9"/>
      <c r="I29" s="9"/>
    </row>
    <row r="30" spans="1:13" x14ac:dyDescent="0.25">
      <c r="A30" s="4" t="s">
        <v>49</v>
      </c>
      <c r="B30" s="9"/>
      <c r="C30" s="9"/>
      <c r="D30" s="9"/>
      <c r="E30" s="9">
        <v>3603466</v>
      </c>
      <c r="F30" s="9"/>
      <c r="G30" s="9"/>
      <c r="H30" s="9"/>
      <c r="I30" s="9">
        <f>425000+68068+40000+951000</f>
        <v>1484068</v>
      </c>
    </row>
    <row r="31" spans="1:13" x14ac:dyDescent="0.25">
      <c r="A31" s="4" t="s">
        <v>50</v>
      </c>
      <c r="B31" s="9">
        <f>64800+400</f>
        <v>65200</v>
      </c>
      <c r="C31" s="9">
        <v>21587</v>
      </c>
      <c r="D31" s="9">
        <v>0</v>
      </c>
      <c r="E31" s="9">
        <v>0</v>
      </c>
      <c r="F31" s="9">
        <v>120000</v>
      </c>
      <c r="G31" s="9">
        <v>0</v>
      </c>
      <c r="H31" s="9">
        <v>35000</v>
      </c>
      <c r="I31" s="9">
        <v>5000</v>
      </c>
    </row>
    <row r="32" spans="1:13" x14ac:dyDescent="0.25">
      <c r="A32" s="4" t="s">
        <v>51</v>
      </c>
      <c r="B32" s="9">
        <v>200000</v>
      </c>
      <c r="C32" s="9">
        <v>180000</v>
      </c>
      <c r="D32" s="9">
        <v>180000</v>
      </c>
      <c r="E32" s="9">
        <v>180000</v>
      </c>
      <c r="F32" s="9">
        <v>180000</v>
      </c>
      <c r="G32" s="9">
        <v>180000</v>
      </c>
      <c r="H32" s="9">
        <v>180000</v>
      </c>
      <c r="I32" s="9">
        <v>202500</v>
      </c>
    </row>
    <row r="33" spans="1:9" x14ac:dyDescent="0.25">
      <c r="A33" s="4" t="s">
        <v>76</v>
      </c>
      <c r="B33" s="9">
        <v>0</v>
      </c>
      <c r="C33" s="9">
        <v>20000</v>
      </c>
      <c r="D33" s="9">
        <v>20000</v>
      </c>
      <c r="E33" s="9">
        <v>20000</v>
      </c>
      <c r="F33" s="9">
        <v>20000</v>
      </c>
      <c r="G33" s="9">
        <v>20000</v>
      </c>
      <c r="H33" s="9">
        <v>20000</v>
      </c>
      <c r="I33" s="9">
        <v>22500</v>
      </c>
    </row>
    <row r="34" spans="1:9" hidden="1" x14ac:dyDescent="0.25">
      <c r="A34" s="4" t="s">
        <v>52</v>
      </c>
      <c r="B34" s="9"/>
      <c r="C34" s="9"/>
      <c r="D34" s="9"/>
      <c r="E34" s="9"/>
      <c r="F34" s="9"/>
      <c r="G34" s="9"/>
      <c r="H34" s="9"/>
      <c r="I34" s="9"/>
    </row>
    <row r="35" spans="1:9" x14ac:dyDescent="0.25">
      <c r="A35" s="4" t="s">
        <v>53</v>
      </c>
      <c r="B35" s="9">
        <f>4200+500</f>
        <v>4700</v>
      </c>
      <c r="C35" s="9">
        <f>35085+500</f>
        <v>35585</v>
      </c>
      <c r="D35" s="9">
        <v>29177</v>
      </c>
      <c r="E35" s="9">
        <v>21800</v>
      </c>
      <c r="F35" s="9">
        <v>0</v>
      </c>
      <c r="G35" s="9">
        <v>13500</v>
      </c>
      <c r="H35" s="9">
        <v>6850</v>
      </c>
      <c r="I35" s="54">
        <v>73345</v>
      </c>
    </row>
    <row r="36" spans="1:9" x14ac:dyDescent="0.25">
      <c r="A36" s="4" t="s">
        <v>54</v>
      </c>
      <c r="B36" s="9"/>
      <c r="C36" s="9"/>
      <c r="D36" s="9"/>
      <c r="E36" s="9"/>
      <c r="F36" s="9"/>
      <c r="G36" s="9"/>
      <c r="H36" s="9">
        <v>11290</v>
      </c>
      <c r="I36" s="9">
        <v>0</v>
      </c>
    </row>
    <row r="37" spans="1:9" x14ac:dyDescent="0.25">
      <c r="A37" s="4" t="s">
        <v>55</v>
      </c>
      <c r="B37" s="9">
        <v>20995</v>
      </c>
      <c r="C37" s="9">
        <f>52954+4000</f>
        <v>56954</v>
      </c>
      <c r="D37" s="9">
        <v>85125</v>
      </c>
      <c r="E37" s="9">
        <v>216862</v>
      </c>
      <c r="F37" s="9">
        <v>48277</v>
      </c>
      <c r="G37" s="9">
        <v>25779.5</v>
      </c>
      <c r="H37" s="9">
        <v>254995</v>
      </c>
      <c r="I37" s="9">
        <v>51880</v>
      </c>
    </row>
    <row r="38" spans="1:9" x14ac:dyDescent="0.25">
      <c r="A38" s="4" t="s">
        <v>56</v>
      </c>
      <c r="B38" s="9">
        <v>844112</v>
      </c>
      <c r="C38" s="9">
        <v>111625</v>
      </c>
      <c r="D38" s="9">
        <v>0</v>
      </c>
      <c r="E38" s="9">
        <v>10000</v>
      </c>
      <c r="F38" s="9">
        <v>0</v>
      </c>
      <c r="G38" s="9">
        <v>0</v>
      </c>
      <c r="H38" s="9"/>
      <c r="I38" s="9"/>
    </row>
    <row r="39" spans="1:9" x14ac:dyDescent="0.25">
      <c r="A39" s="4" t="s">
        <v>57</v>
      </c>
      <c r="B39" s="9"/>
      <c r="C39" s="9"/>
      <c r="D39" s="9"/>
      <c r="E39" s="9"/>
      <c r="F39" s="9"/>
      <c r="G39" s="9"/>
      <c r="H39" s="9"/>
      <c r="I39" s="9"/>
    </row>
    <row r="40" spans="1:9" x14ac:dyDescent="0.25">
      <c r="A40" s="4" t="s">
        <v>58</v>
      </c>
      <c r="B40" s="9">
        <v>127762</v>
      </c>
      <c r="C40" s="9">
        <v>106600</v>
      </c>
      <c r="D40" s="9">
        <v>88221</v>
      </c>
      <c r="E40" s="9">
        <v>138394</v>
      </c>
      <c r="F40" s="9">
        <v>87619</v>
      </c>
      <c r="G40" s="9">
        <v>89792</v>
      </c>
      <c r="H40" s="9">
        <v>81444</v>
      </c>
      <c r="I40" s="9">
        <v>103800</v>
      </c>
    </row>
    <row r="41" spans="1:9" x14ac:dyDescent="0.25">
      <c r="A41" s="4" t="s">
        <v>59</v>
      </c>
      <c r="B41" s="9">
        <v>1999</v>
      </c>
      <c r="C41" s="9">
        <v>1524</v>
      </c>
      <c r="D41" s="9">
        <f>2315+500</f>
        <v>2815</v>
      </c>
      <c r="E41" s="9">
        <f>900+400</f>
        <v>1300</v>
      </c>
      <c r="F41" s="9">
        <v>0</v>
      </c>
      <c r="G41" s="9">
        <f>9940+500</f>
        <v>10440</v>
      </c>
      <c r="H41" s="9"/>
      <c r="I41" s="9">
        <f>1050+2669</f>
        <v>3719</v>
      </c>
    </row>
    <row r="42" spans="1:9" x14ac:dyDescent="0.25">
      <c r="A42" s="4" t="s">
        <v>60</v>
      </c>
      <c r="B42" s="9">
        <f>2280+182361.79</f>
        <v>184641.79</v>
      </c>
      <c r="C42" s="9">
        <f>31060+6500</f>
        <v>37560</v>
      </c>
      <c r="D42" s="9">
        <v>6295</v>
      </c>
      <c r="E42" s="9">
        <v>38900</v>
      </c>
      <c r="F42" s="9">
        <v>275581.65999999997</v>
      </c>
      <c r="G42" s="9">
        <v>45710</v>
      </c>
      <c r="H42" s="9">
        <f>31360+8000</f>
        <v>39360</v>
      </c>
      <c r="I42" s="9">
        <v>388610</v>
      </c>
    </row>
    <row r="43" spans="1:9" x14ac:dyDescent="0.25">
      <c r="A43" s="4" t="s">
        <v>79</v>
      </c>
      <c r="B43" s="9">
        <v>7592</v>
      </c>
      <c r="C43" s="9">
        <v>7592</v>
      </c>
      <c r="D43" s="9">
        <v>7592</v>
      </c>
      <c r="E43" s="9">
        <v>7592</v>
      </c>
      <c r="F43" s="9">
        <v>7592</v>
      </c>
      <c r="G43" s="9">
        <v>7592</v>
      </c>
      <c r="H43" s="9">
        <v>7592</v>
      </c>
      <c r="I43" s="9">
        <v>7592</v>
      </c>
    </row>
    <row r="44" spans="1:9" x14ac:dyDescent="0.25">
      <c r="A44" s="4" t="s">
        <v>61</v>
      </c>
      <c r="B44" s="9">
        <v>82150</v>
      </c>
      <c r="C44" s="9">
        <v>108975</v>
      </c>
      <c r="D44" s="9">
        <v>98000</v>
      </c>
      <c r="E44" s="9">
        <v>108500</v>
      </c>
      <c r="F44" s="9">
        <v>105000</v>
      </c>
      <c r="G44" s="9">
        <v>108500</v>
      </c>
      <c r="H44" s="9">
        <v>108500</v>
      </c>
      <c r="I44" s="9">
        <v>108500</v>
      </c>
    </row>
    <row r="45" spans="1:9" x14ac:dyDescent="0.25">
      <c r="A45" s="4" t="s">
        <v>62</v>
      </c>
      <c r="B45" s="9">
        <v>82150</v>
      </c>
      <c r="C45" s="9">
        <v>108975</v>
      </c>
      <c r="D45" s="9">
        <v>98000</v>
      </c>
      <c r="E45" s="9">
        <v>108500</v>
      </c>
      <c r="F45" s="9">
        <v>105000</v>
      </c>
      <c r="G45" s="9">
        <v>108500</v>
      </c>
      <c r="H45" s="9">
        <v>108500</v>
      </c>
      <c r="I45" s="9">
        <v>108500</v>
      </c>
    </row>
    <row r="46" spans="1:9" x14ac:dyDescent="0.25">
      <c r="A46" s="4" t="s">
        <v>63</v>
      </c>
      <c r="B46" s="9">
        <v>1100000</v>
      </c>
      <c r="C46" s="9">
        <v>1100000</v>
      </c>
      <c r="D46" s="9">
        <v>1100000</v>
      </c>
      <c r="E46" s="9">
        <v>1100000</v>
      </c>
      <c r="F46" s="9">
        <v>1100000</v>
      </c>
      <c r="G46" s="9">
        <v>1100000</v>
      </c>
      <c r="H46" s="9">
        <v>1100000</v>
      </c>
      <c r="I46" s="9">
        <v>1100000</v>
      </c>
    </row>
    <row r="47" spans="1:9" x14ac:dyDescent="0.25">
      <c r="A47" s="4" t="s">
        <v>64</v>
      </c>
      <c r="B47" s="9">
        <v>475000</v>
      </c>
      <c r="C47" s="9">
        <v>620500</v>
      </c>
      <c r="D47" s="9">
        <v>620500</v>
      </c>
      <c r="E47" s="9">
        <v>620500</v>
      </c>
      <c r="F47" s="9">
        <v>620500</v>
      </c>
      <c r="G47" s="9">
        <v>620500</v>
      </c>
      <c r="H47" s="9">
        <v>620500</v>
      </c>
      <c r="I47" s="9">
        <v>620500</v>
      </c>
    </row>
    <row r="48" spans="1:9" x14ac:dyDescent="0.25">
      <c r="A48" s="4" t="s">
        <v>65</v>
      </c>
      <c r="B48" s="8">
        <v>308135</v>
      </c>
      <c r="C48" s="8">
        <v>308135</v>
      </c>
      <c r="D48" s="8">
        <v>308135</v>
      </c>
      <c r="E48" s="8">
        <v>308135</v>
      </c>
      <c r="F48" s="8">
        <v>308135</v>
      </c>
      <c r="G48" s="8">
        <v>308135</v>
      </c>
      <c r="H48" s="8">
        <v>308135</v>
      </c>
      <c r="I48" s="8">
        <v>308135</v>
      </c>
    </row>
    <row r="49" spans="1:9" x14ac:dyDescent="0.25">
      <c r="A49" s="4" t="s">
        <v>66</v>
      </c>
      <c r="B49" s="8">
        <v>240773</v>
      </c>
      <c r="C49" s="8">
        <v>240773</v>
      </c>
      <c r="D49" s="8">
        <v>240773</v>
      </c>
      <c r="E49" s="8">
        <v>240773</v>
      </c>
      <c r="F49" s="8">
        <v>240773</v>
      </c>
      <c r="G49" s="8">
        <v>240773</v>
      </c>
      <c r="H49" s="8">
        <v>240773</v>
      </c>
      <c r="I49" s="8">
        <v>240773</v>
      </c>
    </row>
    <row r="50" spans="1:9" x14ac:dyDescent="0.25">
      <c r="A50" s="4" t="s">
        <v>67</v>
      </c>
      <c r="B50" s="8">
        <v>138570</v>
      </c>
      <c r="C50" s="8">
        <v>138570</v>
      </c>
      <c r="D50" s="8">
        <v>138570</v>
      </c>
      <c r="E50" s="8">
        <v>138570</v>
      </c>
      <c r="F50" s="8">
        <v>138570</v>
      </c>
      <c r="G50" s="8">
        <v>138570</v>
      </c>
      <c r="H50" s="8">
        <v>138570</v>
      </c>
      <c r="I50" s="8">
        <v>138570</v>
      </c>
    </row>
    <row r="51" spans="1:9" x14ac:dyDescent="0.25">
      <c r="A51" s="4" t="s">
        <v>68</v>
      </c>
      <c r="B51" s="8">
        <v>150429</v>
      </c>
      <c r="C51" s="8">
        <v>150429</v>
      </c>
      <c r="D51" s="8">
        <v>150429</v>
      </c>
      <c r="E51" s="8">
        <v>150429</v>
      </c>
      <c r="F51" s="8">
        <v>150429</v>
      </c>
      <c r="G51" s="8">
        <v>150429</v>
      </c>
      <c r="H51" s="8">
        <v>150429</v>
      </c>
      <c r="I51" s="8">
        <v>150429</v>
      </c>
    </row>
    <row r="52" spans="1:9" x14ac:dyDescent="0.25">
      <c r="A52" s="4" t="s">
        <v>69</v>
      </c>
      <c r="B52" s="8">
        <v>88824</v>
      </c>
      <c r="C52" s="8">
        <v>88824</v>
      </c>
      <c r="D52" s="8">
        <v>88824</v>
      </c>
      <c r="E52" s="8">
        <v>88824</v>
      </c>
      <c r="F52" s="8">
        <v>88824</v>
      </c>
      <c r="G52" s="8">
        <v>88824</v>
      </c>
      <c r="H52" s="8">
        <v>88824</v>
      </c>
      <c r="I52" s="8">
        <v>88824</v>
      </c>
    </row>
    <row r="53" spans="1:9" x14ac:dyDescent="0.25">
      <c r="A53" s="4" t="s">
        <v>82</v>
      </c>
      <c r="B53" s="8">
        <v>1273025</v>
      </c>
      <c r="C53" s="8">
        <v>1705289</v>
      </c>
      <c r="D53" s="8">
        <v>1049150</v>
      </c>
      <c r="E53" s="8">
        <v>1307913</v>
      </c>
      <c r="F53" s="8">
        <v>0</v>
      </c>
      <c r="G53" s="8">
        <v>1006554</v>
      </c>
      <c r="H53" s="9">
        <v>884584</v>
      </c>
      <c r="I53" s="9">
        <v>1239179</v>
      </c>
    </row>
    <row r="54" spans="1:9" x14ac:dyDescent="0.25">
      <c r="A54" s="4" t="s">
        <v>74</v>
      </c>
      <c r="B54" s="9">
        <v>218450</v>
      </c>
      <c r="C54" s="9">
        <v>347150</v>
      </c>
      <c r="D54" s="9">
        <v>338450</v>
      </c>
      <c r="E54" s="9">
        <v>343450</v>
      </c>
      <c r="F54" s="9">
        <v>343450</v>
      </c>
      <c r="G54" s="9">
        <v>343450</v>
      </c>
      <c r="H54" s="9">
        <v>327500</v>
      </c>
      <c r="I54" s="9">
        <v>328200</v>
      </c>
    </row>
    <row r="55" spans="1:9" x14ac:dyDescent="0.25">
      <c r="A55" s="4" t="s">
        <v>75</v>
      </c>
      <c r="B55" s="9">
        <v>611250</v>
      </c>
      <c r="C55" s="9">
        <v>622924</v>
      </c>
      <c r="D55" s="9">
        <v>624250</v>
      </c>
      <c r="E55" s="9">
        <v>624250</v>
      </c>
      <c r="F55" s="9">
        <v>624250</v>
      </c>
      <c r="G55" s="9">
        <v>624250</v>
      </c>
      <c r="H55" s="9">
        <v>599130</v>
      </c>
      <c r="I55" s="9">
        <v>615500</v>
      </c>
    </row>
    <row r="56" spans="1:9" x14ac:dyDescent="0.25">
      <c r="A56" s="4" t="s">
        <v>70</v>
      </c>
      <c r="B56" s="9">
        <v>661500</v>
      </c>
      <c r="C56" s="9">
        <v>661500</v>
      </c>
      <c r="D56" s="9">
        <v>661500</v>
      </c>
      <c r="E56" s="9">
        <v>661500</v>
      </c>
      <c r="F56" s="9">
        <v>661500</v>
      </c>
      <c r="G56" s="9">
        <v>661500</v>
      </c>
      <c r="H56" s="9">
        <v>661500</v>
      </c>
      <c r="I56" s="9">
        <v>661500</v>
      </c>
    </row>
    <row r="57" spans="1:9" x14ac:dyDescent="0.25">
      <c r="A57" s="4" t="s">
        <v>71</v>
      </c>
      <c r="B57" s="9">
        <v>7500</v>
      </c>
      <c r="C57" s="9">
        <v>221500</v>
      </c>
      <c r="D57" s="9">
        <v>221500</v>
      </c>
      <c r="E57" s="9">
        <v>221500</v>
      </c>
      <c r="F57" s="9">
        <v>221500</v>
      </c>
      <c r="G57" s="9">
        <v>221500</v>
      </c>
      <c r="H57" s="9">
        <v>221500</v>
      </c>
      <c r="I57" s="9">
        <v>221500</v>
      </c>
    </row>
    <row r="58" spans="1:9" x14ac:dyDescent="0.25">
      <c r="A58" s="4" t="s">
        <v>72</v>
      </c>
      <c r="B58" s="9">
        <v>125547</v>
      </c>
      <c r="C58" s="9">
        <v>186322</v>
      </c>
      <c r="D58" s="9">
        <v>323947</v>
      </c>
      <c r="E58" s="9">
        <v>106496</v>
      </c>
      <c r="F58" s="9">
        <v>93832</v>
      </c>
      <c r="G58" s="9">
        <v>99173</v>
      </c>
      <c r="H58" s="9">
        <f>76404+31400</f>
        <v>107804</v>
      </c>
      <c r="I58" s="9">
        <f>136618-68068+32900</f>
        <v>101450</v>
      </c>
    </row>
    <row r="59" spans="1:9" ht="1.5" hidden="1" customHeight="1" x14ac:dyDescent="0.25">
      <c r="A59" s="4"/>
      <c r="B59" s="9"/>
      <c r="C59" s="9"/>
      <c r="D59" s="9"/>
      <c r="E59" s="9"/>
      <c r="F59" s="9"/>
      <c r="G59" s="9"/>
      <c r="H59" s="9"/>
      <c r="I59" s="9"/>
    </row>
    <row r="60" spans="1:9" x14ac:dyDescent="0.25">
      <c r="A60" s="4" t="s">
        <v>73</v>
      </c>
      <c r="B60" s="9">
        <v>166713</v>
      </c>
      <c r="C60" s="9">
        <v>166713</v>
      </c>
      <c r="D60" s="9">
        <v>166713</v>
      </c>
      <c r="E60" s="9">
        <v>166713</v>
      </c>
      <c r="F60" s="9">
        <v>166713</v>
      </c>
      <c r="G60" s="9">
        <v>166713</v>
      </c>
      <c r="H60" s="9">
        <v>166713</v>
      </c>
      <c r="I60" s="9">
        <v>166713</v>
      </c>
    </row>
    <row r="61" spans="1:9" x14ac:dyDescent="0.25">
      <c r="A61" s="4" t="s">
        <v>77</v>
      </c>
      <c r="B61" s="9">
        <v>42648.75</v>
      </c>
      <c r="C61" s="9">
        <v>42648.75</v>
      </c>
      <c r="D61" s="9">
        <v>42648.75</v>
      </c>
      <c r="E61" s="9">
        <v>42648.75</v>
      </c>
      <c r="F61" s="9">
        <v>42648.75</v>
      </c>
      <c r="G61" s="9">
        <v>42648.75</v>
      </c>
      <c r="H61" s="9">
        <v>42648.75</v>
      </c>
      <c r="I61" s="9">
        <v>42648.75</v>
      </c>
    </row>
    <row r="62" spans="1:9" x14ac:dyDescent="0.25">
      <c r="A62" s="4"/>
      <c r="B62" s="9"/>
      <c r="C62" s="9"/>
      <c r="D62" s="9"/>
      <c r="E62" s="9"/>
      <c r="F62" s="9"/>
      <c r="G62" s="9"/>
      <c r="H62" s="9"/>
      <c r="I62" s="9"/>
    </row>
    <row r="63" spans="1:9" ht="15.75" thickBot="1" x14ac:dyDescent="0.3">
      <c r="B63" s="20">
        <f>SUM(B2:B62)</f>
        <v>8072200.7800000003</v>
      </c>
      <c r="C63" s="20">
        <f t="shared" ref="C63:I63" si="7">SUM(C2:C62)</f>
        <v>8521411.0099999998</v>
      </c>
      <c r="D63" s="20">
        <f t="shared" si="7"/>
        <v>7854038.75</v>
      </c>
      <c r="E63" s="20">
        <f t="shared" si="7"/>
        <v>11471901.75</v>
      </c>
      <c r="F63" s="20">
        <f t="shared" si="7"/>
        <v>10449481.41</v>
      </c>
      <c r="G63" s="20">
        <f t="shared" si="7"/>
        <v>7394840.25</v>
      </c>
      <c r="H63" s="20">
        <f>SUM(H2:H62)</f>
        <v>7463289.1500000004</v>
      </c>
      <c r="I63" s="20">
        <f t="shared" si="7"/>
        <v>9480953.370000001</v>
      </c>
    </row>
    <row r="64" spans="1:9" ht="15.75" thickTop="1" x14ac:dyDescent="0.25">
      <c r="B64" s="17"/>
      <c r="C64" s="17"/>
      <c r="D64" s="17"/>
      <c r="E64" s="17"/>
      <c r="F64" s="17"/>
      <c r="G64" s="17"/>
    </row>
  </sheetData>
  <pageMargins left="0.7" right="0.7" top="0.75" bottom="0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D39A7-8D7E-4184-B79F-F9A2B7A90A61}">
  <sheetPr>
    <tabColor rgb="FFFF0000"/>
  </sheetPr>
  <dimension ref="A1:K41"/>
  <sheetViews>
    <sheetView view="pageBreakPreview" zoomScale="80" zoomScaleNormal="100" zoomScaleSheetLayoutView="80" workbookViewId="0">
      <selection activeCell="C19" sqref="C19"/>
    </sheetView>
  </sheetViews>
  <sheetFormatPr defaultRowHeight="15" x14ac:dyDescent="0.25"/>
  <cols>
    <col min="1" max="1" width="38.85546875" customWidth="1"/>
    <col min="2" max="2" width="23.28515625" style="10" customWidth="1"/>
    <col min="3" max="3" width="20.140625" style="10" customWidth="1"/>
    <col min="4" max="5" width="18.28515625" style="10" customWidth="1"/>
    <col min="6" max="6" width="21" style="10" customWidth="1"/>
    <col min="7" max="9" width="18.140625" style="10" customWidth="1"/>
    <col min="10" max="11" width="13.28515625" bestFit="1" customWidth="1"/>
  </cols>
  <sheetData>
    <row r="1" spans="1:9" x14ac:dyDescent="0.25">
      <c r="A1" s="25" t="s">
        <v>264</v>
      </c>
      <c r="B1" s="18">
        <v>44926</v>
      </c>
      <c r="C1" s="18">
        <v>44957</v>
      </c>
      <c r="D1" s="18">
        <v>44985</v>
      </c>
      <c r="E1" s="18">
        <v>45016</v>
      </c>
      <c r="F1" s="18">
        <v>45046</v>
      </c>
      <c r="G1" s="45">
        <v>45077</v>
      </c>
      <c r="H1" s="18">
        <v>45107</v>
      </c>
      <c r="I1" s="18">
        <v>45138</v>
      </c>
    </row>
    <row r="2" spans="1:9" ht="14.25" customHeight="1" x14ac:dyDescent="0.25">
      <c r="A2" s="32"/>
      <c r="B2" s="33"/>
      <c r="C2" s="33"/>
      <c r="D2" s="33"/>
      <c r="E2" s="33"/>
      <c r="F2" s="33"/>
      <c r="G2" s="46"/>
      <c r="H2" s="23"/>
      <c r="I2" s="51"/>
    </row>
    <row r="3" spans="1:9" hidden="1" x14ac:dyDescent="0.25">
      <c r="A3" s="37"/>
      <c r="B3" s="60"/>
      <c r="C3" s="62"/>
      <c r="D3" s="62"/>
      <c r="E3" s="62"/>
      <c r="F3" s="62"/>
      <c r="G3" s="58"/>
      <c r="H3" s="52"/>
      <c r="I3" s="52"/>
    </row>
    <row r="4" spans="1:9" x14ac:dyDescent="0.25">
      <c r="A4" s="38" t="s">
        <v>80</v>
      </c>
      <c r="B4" s="61"/>
      <c r="C4" s="63"/>
      <c r="D4" s="63"/>
      <c r="E4" s="63"/>
      <c r="F4" s="63"/>
      <c r="G4" s="59"/>
      <c r="H4" s="53"/>
      <c r="I4" s="53"/>
    </row>
    <row r="5" spans="1:9" ht="15.75" thickBot="1" x14ac:dyDescent="0.3">
      <c r="A5" s="39" t="s">
        <v>0</v>
      </c>
      <c r="B5" s="40">
        <f>375300.5922+78607+58659</f>
        <v>512566.59220000001</v>
      </c>
      <c r="C5" s="41">
        <f>1211774.41+179925+112535</f>
        <v>1504234.41</v>
      </c>
      <c r="D5" s="41">
        <f>507555.3967+78735+79945</f>
        <v>666235.39669999992</v>
      </c>
      <c r="E5" s="41">
        <f>559814.1152+98210+76794</f>
        <v>734818.1152</v>
      </c>
      <c r="F5" s="41">
        <f>196709.5964+43908+33058</f>
        <v>273675.59640000004</v>
      </c>
      <c r="G5" s="47">
        <f>346233.0432+85504+43486</f>
        <v>475223.04320000001</v>
      </c>
      <c r="H5" s="41">
        <v>347017</v>
      </c>
      <c r="I5" s="41">
        <v>1020772</v>
      </c>
    </row>
    <row r="6" spans="1:9" x14ac:dyDescent="0.25">
      <c r="A6" s="34"/>
      <c r="B6" s="35"/>
      <c r="C6" s="36"/>
      <c r="D6" s="36"/>
      <c r="E6" s="36"/>
      <c r="F6" s="36"/>
      <c r="G6" s="48"/>
      <c r="H6" s="36"/>
      <c r="I6" s="36"/>
    </row>
    <row r="7" spans="1:9" x14ac:dyDescent="0.25">
      <c r="A7" s="1" t="s">
        <v>81</v>
      </c>
      <c r="B7" s="14">
        <v>462933</v>
      </c>
      <c r="C7" s="9">
        <v>309885</v>
      </c>
      <c r="D7" s="9">
        <v>157386</v>
      </c>
      <c r="E7" s="9">
        <v>317610</v>
      </c>
      <c r="F7" s="9">
        <v>162295</v>
      </c>
      <c r="G7" s="49">
        <v>225792</v>
      </c>
      <c r="H7" s="9">
        <v>237383</v>
      </c>
      <c r="I7" s="9">
        <v>188315</v>
      </c>
    </row>
    <row r="8" spans="1:9" x14ac:dyDescent="0.25">
      <c r="A8" s="2"/>
      <c r="B8" s="14"/>
      <c r="C8" s="9"/>
      <c r="D8" s="9"/>
      <c r="E8" s="9"/>
      <c r="F8" s="9"/>
      <c r="G8" s="49"/>
      <c r="H8" s="9"/>
      <c r="I8" s="9"/>
    </row>
    <row r="9" spans="1:9" x14ac:dyDescent="0.25">
      <c r="A9" s="1" t="s">
        <v>1</v>
      </c>
      <c r="B9" s="13">
        <v>35000</v>
      </c>
      <c r="C9" s="9">
        <v>75000</v>
      </c>
      <c r="D9" s="9">
        <v>75000</v>
      </c>
      <c r="E9" s="9">
        <v>75000</v>
      </c>
      <c r="F9" s="9">
        <v>75000</v>
      </c>
      <c r="G9" s="49">
        <v>75000</v>
      </c>
      <c r="H9" s="49">
        <v>75000</v>
      </c>
      <c r="I9" s="9">
        <v>75000</v>
      </c>
    </row>
    <row r="10" spans="1:9" x14ac:dyDescent="0.25">
      <c r="A10" s="2"/>
      <c r="B10" s="14"/>
      <c r="C10" s="9"/>
      <c r="D10" s="9"/>
      <c r="E10" s="9"/>
      <c r="F10" s="9"/>
      <c r="G10" s="49"/>
      <c r="H10" s="49"/>
      <c r="I10" s="9"/>
    </row>
    <row r="11" spans="1:9" x14ac:dyDescent="0.25">
      <c r="A11" s="1" t="s">
        <v>2</v>
      </c>
      <c r="B11" s="13">
        <v>35000</v>
      </c>
      <c r="C11" s="9">
        <v>75000</v>
      </c>
      <c r="D11" s="9">
        <v>75000</v>
      </c>
      <c r="E11" s="9">
        <v>75000</v>
      </c>
      <c r="F11" s="9">
        <v>75000</v>
      </c>
      <c r="G11" s="49">
        <v>75000</v>
      </c>
      <c r="H11" s="49">
        <v>75000</v>
      </c>
      <c r="I11" s="9">
        <v>75000</v>
      </c>
    </row>
    <row r="12" spans="1:9" x14ac:dyDescent="0.25">
      <c r="A12" s="2"/>
      <c r="B12" s="14"/>
      <c r="C12" s="9"/>
      <c r="D12" s="9"/>
      <c r="E12" s="9"/>
      <c r="F12" s="9"/>
      <c r="G12" s="49"/>
      <c r="H12" s="49"/>
      <c r="I12" s="9"/>
    </row>
    <row r="13" spans="1:9" x14ac:dyDescent="0.25">
      <c r="A13" s="1" t="s">
        <v>3</v>
      </c>
      <c r="B13" s="13">
        <v>35000</v>
      </c>
      <c r="C13" s="9">
        <v>75000</v>
      </c>
      <c r="D13" s="9">
        <v>75000</v>
      </c>
      <c r="E13" s="9">
        <v>75000</v>
      </c>
      <c r="F13" s="9">
        <v>75000</v>
      </c>
      <c r="G13" s="49">
        <v>75000</v>
      </c>
      <c r="H13" s="49">
        <v>75000</v>
      </c>
      <c r="I13" s="9">
        <v>75000</v>
      </c>
    </row>
    <row r="14" spans="1:9" x14ac:dyDescent="0.25">
      <c r="A14" s="2"/>
      <c r="B14" s="14"/>
      <c r="C14" s="9"/>
      <c r="D14" s="9"/>
      <c r="E14" s="9"/>
      <c r="F14" s="9"/>
      <c r="G14" s="49"/>
      <c r="H14" s="49"/>
      <c r="I14" s="9"/>
    </row>
    <row r="15" spans="1:9" x14ac:dyDescent="0.25">
      <c r="A15" s="1" t="s">
        <v>4</v>
      </c>
      <c r="B15" s="13">
        <v>40000</v>
      </c>
      <c r="C15" s="9">
        <v>75000</v>
      </c>
      <c r="D15" s="9">
        <v>75000</v>
      </c>
      <c r="E15" s="9">
        <v>75000</v>
      </c>
      <c r="F15" s="9">
        <v>75000</v>
      </c>
      <c r="G15" s="49">
        <v>75000</v>
      </c>
      <c r="H15" s="49">
        <v>75000</v>
      </c>
      <c r="I15" s="9">
        <v>75000</v>
      </c>
    </row>
    <row r="16" spans="1:9" x14ac:dyDescent="0.25">
      <c r="A16" s="2"/>
      <c r="B16" s="14"/>
      <c r="C16" s="9"/>
      <c r="D16" s="9"/>
      <c r="E16" s="9"/>
      <c r="F16" s="9"/>
      <c r="G16" s="49"/>
      <c r="H16" s="49"/>
      <c r="I16" s="9"/>
    </row>
    <row r="17" spans="1:11" x14ac:dyDescent="0.25">
      <c r="A17" s="1" t="s">
        <v>5</v>
      </c>
      <c r="B17" s="13">
        <v>35000</v>
      </c>
      <c r="C17" s="9">
        <v>75000</v>
      </c>
      <c r="D17" s="9">
        <v>75000</v>
      </c>
      <c r="E17" s="9">
        <v>75000</v>
      </c>
      <c r="F17" s="9">
        <v>75000</v>
      </c>
      <c r="G17" s="49">
        <v>75000</v>
      </c>
      <c r="H17" s="49">
        <v>75000</v>
      </c>
      <c r="I17" s="9">
        <v>75000</v>
      </c>
    </row>
    <row r="18" spans="1:11" x14ac:dyDescent="0.25">
      <c r="A18" s="2"/>
      <c r="B18" s="14"/>
      <c r="C18" s="9"/>
      <c r="D18" s="9"/>
      <c r="E18" s="9"/>
      <c r="F18" s="9"/>
      <c r="G18" s="49"/>
      <c r="H18" s="49"/>
      <c r="I18" s="9"/>
    </row>
    <row r="19" spans="1:11" x14ac:dyDescent="0.25">
      <c r="A19" s="3" t="s">
        <v>6</v>
      </c>
      <c r="B19" s="15">
        <v>14500</v>
      </c>
      <c r="C19" s="9">
        <v>14500</v>
      </c>
      <c r="D19" s="9">
        <v>14500</v>
      </c>
      <c r="E19" s="9">
        <v>29000</v>
      </c>
      <c r="F19" s="9">
        <v>29000</v>
      </c>
      <c r="G19" s="49">
        <v>29000</v>
      </c>
      <c r="H19" s="49">
        <v>29000</v>
      </c>
      <c r="I19" s="9">
        <v>29000</v>
      </c>
    </row>
    <row r="20" spans="1:11" x14ac:dyDescent="0.25">
      <c r="A20" s="2"/>
      <c r="B20" s="14"/>
      <c r="C20" s="9"/>
      <c r="D20" s="9"/>
      <c r="E20" s="9"/>
      <c r="F20" s="9"/>
      <c r="G20" s="49"/>
      <c r="H20" s="9"/>
      <c r="I20" s="9"/>
    </row>
    <row r="21" spans="1:11" x14ac:dyDescent="0.25">
      <c r="A21" s="4" t="s">
        <v>7</v>
      </c>
      <c r="B21" s="9">
        <f>126240+159120+75745</f>
        <v>361105</v>
      </c>
      <c r="C21" s="9">
        <f>213161+129709</f>
        <v>342870</v>
      </c>
      <c r="D21" s="9">
        <f>131175+86224</f>
        <v>217399</v>
      </c>
      <c r="E21" s="9">
        <f>163489+73109+91023</f>
        <v>327621</v>
      </c>
      <c r="F21" s="9">
        <f>48913+39480</f>
        <v>88393</v>
      </c>
      <c r="G21" s="49">
        <f>125840+69155</f>
        <v>194995</v>
      </c>
      <c r="H21" s="9">
        <f>110565+57944</f>
        <v>168509</v>
      </c>
      <c r="I21" s="9">
        <v>154897</v>
      </c>
    </row>
    <row r="22" spans="1:11" x14ac:dyDescent="0.25">
      <c r="A22" s="4"/>
      <c r="B22" s="9"/>
      <c r="C22" s="9"/>
      <c r="D22" s="9"/>
      <c r="E22" s="9"/>
      <c r="F22" s="9"/>
      <c r="G22" s="49"/>
      <c r="H22" s="9"/>
      <c r="I22" s="9"/>
    </row>
    <row r="23" spans="1:11" x14ac:dyDescent="0.25">
      <c r="A23" s="4" t="s">
        <v>8</v>
      </c>
      <c r="B23" s="9">
        <v>636513</v>
      </c>
      <c r="C23" s="9">
        <v>852645</v>
      </c>
      <c r="D23" s="9">
        <v>524575</v>
      </c>
      <c r="E23" s="9">
        <v>653957</v>
      </c>
      <c r="F23" s="9">
        <v>163042</v>
      </c>
      <c r="G23" s="49">
        <v>503277</v>
      </c>
      <c r="H23" s="9">
        <v>442292</v>
      </c>
      <c r="I23" s="9">
        <v>619590</v>
      </c>
      <c r="K23" s="43"/>
    </row>
    <row r="24" spans="1:11" x14ac:dyDescent="0.25">
      <c r="A24" s="2"/>
      <c r="B24" s="14"/>
      <c r="C24" s="9"/>
      <c r="D24" s="9"/>
      <c r="E24" s="9"/>
      <c r="F24" s="9"/>
      <c r="G24" s="49"/>
      <c r="H24" s="9"/>
      <c r="I24" s="9"/>
    </row>
    <row r="25" spans="1:11" x14ac:dyDescent="0.25">
      <c r="A25" s="4" t="s">
        <v>9</v>
      </c>
      <c r="B25" s="9">
        <v>135000</v>
      </c>
      <c r="C25" s="9">
        <v>135000</v>
      </c>
      <c r="D25" s="9">
        <v>135000</v>
      </c>
      <c r="E25" s="9">
        <v>135000</v>
      </c>
      <c r="F25" s="9">
        <v>100000</v>
      </c>
      <c r="G25" s="49">
        <v>100000</v>
      </c>
      <c r="H25" s="49">
        <v>30000</v>
      </c>
      <c r="I25" s="9">
        <v>30000</v>
      </c>
      <c r="K25" s="43"/>
    </row>
    <row r="26" spans="1:11" x14ac:dyDescent="0.25">
      <c r="A26" s="2"/>
      <c r="B26" s="14"/>
      <c r="C26" s="9"/>
      <c r="D26" s="9"/>
      <c r="E26" s="9"/>
      <c r="F26" s="9"/>
      <c r="G26" s="49"/>
      <c r="H26" s="9"/>
      <c r="I26" s="9"/>
    </row>
    <row r="27" spans="1:11" x14ac:dyDescent="0.25">
      <c r="A27" s="1" t="s">
        <v>10</v>
      </c>
      <c r="B27" s="13">
        <f>422580+397980</f>
        <v>820560</v>
      </c>
      <c r="C27" s="9">
        <f>266950+535024</f>
        <v>801974</v>
      </c>
      <c r="D27" s="9">
        <f>329303+497392</f>
        <v>826695</v>
      </c>
      <c r="E27" s="9">
        <f>304203+302550</f>
        <v>606753</v>
      </c>
      <c r="F27" s="9">
        <f>277195+193311</f>
        <v>470506</v>
      </c>
      <c r="G27" s="49">
        <f>213139+487857</f>
        <v>700996</v>
      </c>
      <c r="H27" s="9">
        <f>358473+231610</f>
        <v>590083</v>
      </c>
      <c r="I27" s="9">
        <f>378248</f>
        <v>378248</v>
      </c>
      <c r="J27" s="24">
        <f>SUM(B27:G27)</f>
        <v>4227484</v>
      </c>
      <c r="K27" s="24"/>
    </row>
    <row r="28" spans="1:11" x14ac:dyDescent="0.25">
      <c r="A28" s="2"/>
      <c r="B28" s="14"/>
      <c r="C28" s="9"/>
      <c r="D28" s="9"/>
      <c r="E28" s="9"/>
      <c r="F28" s="9"/>
      <c r="G28" s="49"/>
      <c r="H28" s="9"/>
      <c r="I28" s="9"/>
    </row>
    <row r="29" spans="1:11" x14ac:dyDescent="0.25">
      <c r="A29" s="1" t="s">
        <v>11</v>
      </c>
      <c r="B29" s="13">
        <f>285491+6000</f>
        <v>291491</v>
      </c>
      <c r="C29" s="9">
        <f>237160+11102</f>
        <v>248262</v>
      </c>
      <c r="D29" s="9">
        <f>305755+75589</f>
        <v>381344</v>
      </c>
      <c r="E29" s="9">
        <f>78949+18047</f>
        <v>96996</v>
      </c>
      <c r="F29" s="9">
        <f>67837+21445</f>
        <v>89282</v>
      </c>
      <c r="G29" s="49">
        <f>68603+45892</f>
        <v>114495</v>
      </c>
      <c r="H29" s="9">
        <f>116661+14763</f>
        <v>131424</v>
      </c>
      <c r="I29" s="9">
        <f>258630.99+55686.25</f>
        <v>314317.24</v>
      </c>
    </row>
    <row r="30" spans="1:11" x14ac:dyDescent="0.25">
      <c r="A30" s="2"/>
      <c r="B30" s="14"/>
      <c r="C30" s="9"/>
      <c r="D30" s="9"/>
      <c r="E30" s="9"/>
      <c r="F30" s="9"/>
      <c r="G30" s="49"/>
      <c r="H30" s="9"/>
      <c r="I30" s="9"/>
    </row>
    <row r="31" spans="1:11" x14ac:dyDescent="0.25">
      <c r="A31" s="1" t="s">
        <v>12</v>
      </c>
      <c r="B31" s="13">
        <v>0</v>
      </c>
      <c r="C31" s="9">
        <v>239500</v>
      </c>
      <c r="D31" s="9">
        <v>10000</v>
      </c>
      <c r="E31" s="9">
        <v>0</v>
      </c>
      <c r="F31" s="9">
        <v>681262</v>
      </c>
      <c r="G31" s="49">
        <v>47880</v>
      </c>
      <c r="H31" s="9">
        <v>130250</v>
      </c>
      <c r="I31" s="9">
        <f>30800</f>
        <v>30800</v>
      </c>
    </row>
    <row r="32" spans="1:11" x14ac:dyDescent="0.25">
      <c r="A32" s="2"/>
      <c r="B32" s="14"/>
      <c r="C32" s="9"/>
      <c r="D32" s="9"/>
      <c r="E32" s="9"/>
      <c r="F32" s="9"/>
      <c r="G32" s="49"/>
      <c r="H32" s="9"/>
      <c r="I32" s="9"/>
    </row>
    <row r="33" spans="1:10" x14ac:dyDescent="0.25">
      <c r="A33" s="1" t="s">
        <v>13</v>
      </c>
      <c r="B33" s="13">
        <v>38460</v>
      </c>
      <c r="C33" s="9">
        <v>29210</v>
      </c>
      <c r="D33" s="9">
        <v>13145</v>
      </c>
      <c r="E33" s="9">
        <v>16258</v>
      </c>
      <c r="F33" s="9">
        <v>13917</v>
      </c>
      <c r="G33" s="49">
        <v>28960</v>
      </c>
      <c r="H33" s="9">
        <v>26040</v>
      </c>
      <c r="I33" s="9">
        <f>35630</f>
        <v>35630</v>
      </c>
    </row>
    <row r="34" spans="1:10" x14ac:dyDescent="0.25">
      <c r="A34" s="2"/>
      <c r="B34" s="14"/>
      <c r="C34" s="9"/>
      <c r="D34" s="9"/>
      <c r="E34" s="9"/>
      <c r="F34" s="9"/>
      <c r="G34" s="49"/>
      <c r="H34" s="9"/>
      <c r="I34" s="9"/>
    </row>
    <row r="35" spans="1:10" x14ac:dyDescent="0.25">
      <c r="A35" s="1" t="s">
        <v>78</v>
      </c>
      <c r="B35" s="13">
        <f>12700+33800+1600+178581+30500</f>
        <v>257181</v>
      </c>
      <c r="C35" s="9">
        <f>16300+37900+3000+104920+127500+1400</f>
        <v>291020</v>
      </c>
      <c r="D35" s="9">
        <f>14300+37000+4000+146620+146900+2300</f>
        <v>351120</v>
      </c>
      <c r="E35" s="9">
        <f>9700+38200+266980+270500</f>
        <v>585380</v>
      </c>
      <c r="F35" s="9">
        <f>7300+36600+2000+86015+45099</f>
        <v>177014</v>
      </c>
      <c r="G35" s="49">
        <f>12000+33700+5000+126760+160700</f>
        <v>338160</v>
      </c>
      <c r="H35" s="9">
        <f>140500+148900+14600+2000</f>
        <v>306000</v>
      </c>
      <c r="I35" s="9">
        <f>126900+81210+15500</f>
        <v>223610</v>
      </c>
    </row>
    <row r="36" spans="1:10" x14ac:dyDescent="0.25">
      <c r="A36" s="2"/>
      <c r="B36" s="14"/>
      <c r="C36" s="9"/>
      <c r="D36" s="9"/>
      <c r="E36" s="9"/>
      <c r="F36" s="9"/>
      <c r="G36" s="49"/>
      <c r="H36" s="49"/>
      <c r="I36" s="9"/>
    </row>
    <row r="37" spans="1:10" hidden="1" x14ac:dyDescent="0.25">
      <c r="A37" s="2"/>
      <c r="B37" s="14"/>
      <c r="C37" s="9"/>
      <c r="D37" s="9"/>
      <c r="E37" s="9"/>
      <c r="F37" s="9"/>
      <c r="G37" s="49"/>
      <c r="H37" s="49"/>
      <c r="I37" s="9"/>
    </row>
    <row r="38" spans="1:10" x14ac:dyDescent="0.25">
      <c r="A38" s="1" t="s">
        <v>14</v>
      </c>
      <c r="B38" s="13">
        <f>419363+19240</f>
        <v>438603</v>
      </c>
      <c r="C38" s="9">
        <f>811132+6450</f>
        <v>817582</v>
      </c>
      <c r="D38" s="9">
        <v>848525</v>
      </c>
      <c r="E38" s="9">
        <f>422017+2300</f>
        <v>424317</v>
      </c>
      <c r="F38" s="9">
        <f>235667+1200</f>
        <v>236867</v>
      </c>
      <c r="G38" s="49">
        <f>469841+200</f>
        <v>470041</v>
      </c>
      <c r="H38" s="49">
        <f>165490</f>
        <v>165490</v>
      </c>
      <c r="I38" s="9">
        <v>308430</v>
      </c>
      <c r="J38" s="24">
        <f>SUM(B38:G38)</f>
        <v>3235935</v>
      </c>
    </row>
    <row r="39" spans="1:10" x14ac:dyDescent="0.25">
      <c r="A39" s="21"/>
      <c r="B39" s="22"/>
      <c r="C39" s="23"/>
      <c r="D39" s="23"/>
      <c r="E39" s="23"/>
      <c r="F39" s="23"/>
      <c r="G39" s="23"/>
      <c r="H39" s="49"/>
      <c r="I39" s="9"/>
    </row>
    <row r="40" spans="1:10" ht="15.75" thickBot="1" x14ac:dyDescent="0.3">
      <c r="B40" s="19">
        <f>SUM(B3:B38)</f>
        <v>4148912.5921999998</v>
      </c>
      <c r="C40" s="19">
        <f t="shared" ref="C40:I40" si="0">SUM(C3:C38)</f>
        <v>5961682.4100000001</v>
      </c>
      <c r="D40" s="19">
        <f t="shared" si="0"/>
        <v>4520924.3967000004</v>
      </c>
      <c r="E40" s="19">
        <f t="shared" si="0"/>
        <v>4302710.1151999999</v>
      </c>
      <c r="F40" s="19">
        <f t="shared" si="0"/>
        <v>2860253.5964000002</v>
      </c>
      <c r="G40" s="19">
        <f t="shared" si="0"/>
        <v>3603819.0432000002</v>
      </c>
      <c r="H40" s="19">
        <f>SUM(H3:H38)</f>
        <v>2978488</v>
      </c>
      <c r="I40" s="20">
        <f t="shared" si="0"/>
        <v>3708609.24</v>
      </c>
    </row>
    <row r="41" spans="1:10" ht="15.75" thickTop="1" x14ac:dyDescent="0.25"/>
  </sheetData>
  <mergeCells count="6">
    <mergeCell ref="G3:G4"/>
    <mergeCell ref="B3:B4"/>
    <mergeCell ref="C3:C4"/>
    <mergeCell ref="D3:D4"/>
    <mergeCell ref="E3:E4"/>
    <mergeCell ref="F3:F4"/>
  </mergeCells>
  <pageMargins left="0.7" right="0" top="0.75" bottom="0.75" header="0.3" footer="0.3"/>
  <pageSetup paperSize="9" scale="7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3819F-2559-4A5C-90F1-F6F9CB383F3F}">
  <sheetPr>
    <tabColor theme="5" tint="-0.249977111117893"/>
  </sheetPr>
  <dimension ref="A1:J32"/>
  <sheetViews>
    <sheetView view="pageBreakPreview" zoomScale="98" zoomScaleNormal="100" zoomScaleSheetLayoutView="98" workbookViewId="0">
      <selection activeCell="G27" sqref="G27"/>
    </sheetView>
  </sheetViews>
  <sheetFormatPr defaultRowHeight="15" x14ac:dyDescent="0.25"/>
  <cols>
    <col min="1" max="1" width="37.28515625" customWidth="1"/>
    <col min="2" max="2" width="14.28515625" customWidth="1"/>
    <col min="3" max="3" width="20" customWidth="1"/>
    <col min="4" max="4" width="14.7109375" customWidth="1"/>
    <col min="5" max="5" width="15" customWidth="1"/>
    <col min="6" max="6" width="16.42578125" customWidth="1"/>
    <col min="7" max="7" width="16.85546875" customWidth="1"/>
    <col min="8" max="8" width="15" customWidth="1"/>
    <col min="9" max="9" width="14.28515625" customWidth="1"/>
  </cols>
  <sheetData>
    <row r="1" spans="1:10" x14ac:dyDescent="0.25">
      <c r="A1" s="25" t="s">
        <v>265</v>
      </c>
      <c r="B1" s="12">
        <v>44896</v>
      </c>
      <c r="C1" s="11">
        <v>44949</v>
      </c>
      <c r="D1" s="11">
        <v>44980</v>
      </c>
      <c r="E1" s="11">
        <v>45008</v>
      </c>
      <c r="F1" s="11">
        <v>45039</v>
      </c>
      <c r="G1" s="11">
        <v>45069</v>
      </c>
      <c r="H1" s="11">
        <v>45100</v>
      </c>
      <c r="I1" s="11">
        <v>45130</v>
      </c>
    </row>
    <row r="2" spans="1:10" ht="15.75" x14ac:dyDescent="0.25">
      <c r="A2" s="5"/>
      <c r="B2" s="4"/>
      <c r="C2" s="9"/>
      <c r="D2" s="9"/>
      <c r="E2" s="9"/>
      <c r="F2" s="9"/>
      <c r="G2" s="49"/>
      <c r="H2" s="4"/>
      <c r="I2" s="4"/>
    </row>
    <row r="3" spans="1:10" ht="15.75" x14ac:dyDescent="0.25">
      <c r="A3" s="6" t="s">
        <v>15</v>
      </c>
      <c r="B3" s="13">
        <f>3780+4560</f>
        <v>8340</v>
      </c>
      <c r="C3" s="9">
        <f>12937+360</f>
        <v>13297</v>
      </c>
      <c r="D3" s="9">
        <f>7325+360</f>
        <v>7685</v>
      </c>
      <c r="E3" s="9">
        <f>3910+160</f>
        <v>4070</v>
      </c>
      <c r="F3" s="9">
        <f>930+60</f>
        <v>990</v>
      </c>
      <c r="G3" s="49">
        <f>1010+160</f>
        <v>1170</v>
      </c>
      <c r="H3" s="9">
        <f>10340+810</f>
        <v>11150</v>
      </c>
      <c r="I3" s="9">
        <f>43563+35940</f>
        <v>79503</v>
      </c>
    </row>
    <row r="4" spans="1:10" ht="15.75" x14ac:dyDescent="0.25">
      <c r="A4" s="7"/>
      <c r="B4" s="14"/>
      <c r="C4" s="9"/>
      <c r="D4" s="9"/>
      <c r="E4" s="9"/>
      <c r="F4" s="9"/>
      <c r="G4" s="49"/>
      <c r="H4" s="9"/>
      <c r="I4" s="9"/>
    </row>
    <row r="5" spans="1:10" ht="15.75" x14ac:dyDescent="0.25">
      <c r="A5" s="6" t="s">
        <v>16</v>
      </c>
      <c r="B5" s="13">
        <v>214882</v>
      </c>
      <c r="C5" s="9">
        <v>137861</v>
      </c>
      <c r="D5" s="9">
        <v>104500</v>
      </c>
      <c r="E5" s="9">
        <v>187500</v>
      </c>
      <c r="F5" s="9">
        <v>118185</v>
      </c>
      <c r="G5" s="49">
        <v>121141</v>
      </c>
      <c r="H5" s="9">
        <v>107063.25</v>
      </c>
      <c r="I5" s="9">
        <v>87566.54</v>
      </c>
    </row>
    <row r="6" spans="1:10" ht="6.75" hidden="1" customHeight="1" x14ac:dyDescent="0.25">
      <c r="A6" s="7"/>
      <c r="B6" s="14"/>
      <c r="C6" s="9"/>
      <c r="D6" s="9"/>
      <c r="E6" s="9"/>
      <c r="F6" s="9"/>
      <c r="G6" s="49"/>
      <c r="H6" s="4"/>
      <c r="I6" s="4"/>
    </row>
    <row r="7" spans="1:10" hidden="1" x14ac:dyDescent="0.25">
      <c r="B7" s="13"/>
      <c r="C7" s="9"/>
      <c r="D7" s="9"/>
      <c r="E7" s="9"/>
      <c r="F7" s="9"/>
      <c r="G7" s="49"/>
      <c r="H7" s="4"/>
      <c r="I7" s="4"/>
    </row>
    <row r="8" spans="1:10" ht="15.75" x14ac:dyDescent="0.25">
      <c r="A8" s="7"/>
      <c r="B8" s="14"/>
      <c r="C8" s="9"/>
      <c r="D8" s="9"/>
      <c r="E8" s="9"/>
      <c r="F8" s="9"/>
      <c r="G8" s="49"/>
      <c r="H8" s="4"/>
      <c r="I8" s="4"/>
    </row>
    <row r="9" spans="1:10" ht="2.25" hidden="1" customHeight="1" x14ac:dyDescent="0.25">
      <c r="A9" s="6" t="s">
        <v>17</v>
      </c>
      <c r="B9" s="13"/>
      <c r="C9" s="9"/>
      <c r="D9" s="9"/>
      <c r="E9" s="9"/>
      <c r="F9" s="9"/>
      <c r="G9" s="49"/>
      <c r="H9" s="4"/>
      <c r="I9" s="4"/>
    </row>
    <row r="10" spans="1:10" ht="15.75" hidden="1" x14ac:dyDescent="0.25">
      <c r="A10" s="7"/>
      <c r="B10" s="14"/>
      <c r="C10" s="9"/>
      <c r="D10" s="9"/>
      <c r="E10" s="9"/>
      <c r="F10" s="9"/>
      <c r="G10" s="49"/>
      <c r="H10" s="4"/>
      <c r="I10" s="4"/>
      <c r="J10">
        <v>121690</v>
      </c>
    </row>
    <row r="11" spans="1:10" ht="15.75" hidden="1" x14ac:dyDescent="0.25">
      <c r="A11" s="6" t="s">
        <v>18</v>
      </c>
      <c r="B11" s="13"/>
      <c r="C11" s="9"/>
      <c r="D11" s="9"/>
      <c r="E11" s="9"/>
      <c r="F11" s="9"/>
      <c r="G11" s="49"/>
      <c r="H11" s="4"/>
      <c r="I11" s="4"/>
      <c r="J11">
        <v>182534</v>
      </c>
    </row>
    <row r="12" spans="1:10" ht="0.75" customHeight="1" x14ac:dyDescent="0.25">
      <c r="A12" s="7"/>
      <c r="B12" s="14"/>
      <c r="C12" s="9"/>
      <c r="D12" s="9"/>
      <c r="E12" s="9"/>
      <c r="F12" s="9"/>
      <c r="G12" s="49"/>
      <c r="H12" s="4"/>
      <c r="I12" s="4"/>
      <c r="J12">
        <v>126760</v>
      </c>
    </row>
    <row r="13" spans="1:10" ht="15.75" x14ac:dyDescent="0.25">
      <c r="A13" s="6" t="s">
        <v>19</v>
      </c>
      <c r="B13" s="13">
        <v>430984</v>
      </c>
      <c r="C13" s="13">
        <v>430984</v>
      </c>
      <c r="D13" s="13">
        <v>430984</v>
      </c>
      <c r="E13" s="13">
        <v>430984</v>
      </c>
      <c r="F13" s="13">
        <v>430984</v>
      </c>
      <c r="G13" s="50">
        <v>430984</v>
      </c>
      <c r="H13" s="50">
        <v>430984</v>
      </c>
      <c r="I13" s="50">
        <v>430984</v>
      </c>
      <c r="J13">
        <f>SUM(J10:J12)</f>
        <v>430984</v>
      </c>
    </row>
    <row r="14" spans="1:10" ht="15.75" x14ac:dyDescent="0.25">
      <c r="A14" s="7"/>
      <c r="B14" s="14"/>
      <c r="C14" s="9"/>
      <c r="D14" s="9"/>
      <c r="E14" s="9"/>
      <c r="F14" s="9"/>
      <c r="G14" s="49"/>
      <c r="H14" s="4"/>
      <c r="I14" s="4"/>
    </row>
    <row r="15" spans="1:10" ht="15" customHeight="1" x14ac:dyDescent="0.25">
      <c r="A15" s="6" t="s">
        <v>20</v>
      </c>
      <c r="B15" s="13">
        <v>60000</v>
      </c>
      <c r="C15" s="13">
        <v>60000</v>
      </c>
      <c r="D15" s="13">
        <v>60000</v>
      </c>
      <c r="E15" s="13">
        <v>60000</v>
      </c>
      <c r="F15" s="13">
        <v>60000</v>
      </c>
      <c r="G15" s="50">
        <v>60000</v>
      </c>
      <c r="H15" s="50">
        <v>60000</v>
      </c>
      <c r="I15" s="50">
        <v>60000</v>
      </c>
    </row>
    <row r="16" spans="1:10" ht="15.75" hidden="1" x14ac:dyDescent="0.25">
      <c r="A16" s="7"/>
      <c r="B16" s="14"/>
      <c r="C16" s="9"/>
      <c r="D16" s="9"/>
      <c r="E16" s="9"/>
      <c r="F16" s="9"/>
      <c r="G16" s="49"/>
      <c r="H16" s="4"/>
      <c r="I16" s="4"/>
    </row>
    <row r="17" spans="1:9" ht="15.75" hidden="1" x14ac:dyDescent="0.25">
      <c r="A17" s="6" t="s">
        <v>21</v>
      </c>
      <c r="B17" s="15"/>
      <c r="C17" s="9"/>
      <c r="D17" s="9"/>
      <c r="E17" s="9"/>
      <c r="F17" s="9"/>
      <c r="G17" s="49"/>
      <c r="H17" s="4"/>
      <c r="I17" s="4"/>
    </row>
    <row r="18" spans="1:9" ht="15.75" x14ac:dyDescent="0.25">
      <c r="A18" s="6"/>
      <c r="B18" s="14"/>
      <c r="C18" s="9"/>
      <c r="D18" s="9"/>
      <c r="E18" s="9"/>
      <c r="F18" s="9"/>
      <c r="G18" s="49"/>
      <c r="H18" s="4"/>
      <c r="I18" s="4"/>
    </row>
    <row r="19" spans="1:9" ht="15.75" x14ac:dyDescent="0.25">
      <c r="A19" s="6" t="s">
        <v>22</v>
      </c>
      <c r="B19" s="9">
        <v>15066</v>
      </c>
      <c r="C19" s="9">
        <v>0</v>
      </c>
      <c r="D19" s="9">
        <v>968.9</v>
      </c>
      <c r="E19" s="9">
        <v>848.5</v>
      </c>
      <c r="F19" s="9">
        <v>5346.47</v>
      </c>
      <c r="G19" s="49">
        <v>9998.75</v>
      </c>
      <c r="H19" s="9">
        <v>2323.56</v>
      </c>
      <c r="I19" s="4">
        <v>0</v>
      </c>
    </row>
    <row r="20" spans="1:9" ht="15.75" x14ac:dyDescent="0.25">
      <c r="A20" s="5"/>
      <c r="B20" s="9"/>
      <c r="C20" s="9"/>
      <c r="D20" s="9"/>
      <c r="E20" s="9"/>
      <c r="F20" s="9"/>
      <c r="G20" s="49"/>
      <c r="H20" s="4"/>
      <c r="I20" s="4"/>
    </row>
    <row r="21" spans="1:9" ht="15.75" thickBot="1" x14ac:dyDescent="0.3">
      <c r="B21" s="19">
        <f>SUM(B2:B20)</f>
        <v>729272</v>
      </c>
      <c r="C21" s="19">
        <f t="shared" ref="C21:G21" si="0">SUM(C2:C20)</f>
        <v>642142</v>
      </c>
      <c r="D21" s="19">
        <f t="shared" si="0"/>
        <v>604137.9</v>
      </c>
      <c r="E21" s="19">
        <f t="shared" si="0"/>
        <v>683402.5</v>
      </c>
      <c r="F21" s="19">
        <f t="shared" si="0"/>
        <v>615505.47</v>
      </c>
      <c r="G21" s="19">
        <f t="shared" si="0"/>
        <v>623293.75</v>
      </c>
      <c r="H21" s="19">
        <f>SUM(H2:H20)</f>
        <v>611520.81000000006</v>
      </c>
      <c r="I21" s="19">
        <f>SUM(I2:I20)</f>
        <v>658053.54</v>
      </c>
    </row>
    <row r="22" spans="1:9" ht="15.75" thickTop="1" x14ac:dyDescent="0.25"/>
    <row r="24" spans="1:9" x14ac:dyDescent="0.25">
      <c r="A24" t="s">
        <v>84</v>
      </c>
      <c r="B24" s="10">
        <v>498678</v>
      </c>
      <c r="C24" s="10">
        <v>1972095</v>
      </c>
      <c r="D24" s="10">
        <v>267233</v>
      </c>
      <c r="E24" s="10">
        <v>326487</v>
      </c>
      <c r="F24" s="10">
        <v>19222575</v>
      </c>
      <c r="G24" s="10">
        <v>385435</v>
      </c>
      <c r="H24" s="10">
        <v>386787</v>
      </c>
      <c r="I24" s="10">
        <v>1637003</v>
      </c>
    </row>
    <row r="25" spans="1:9" x14ac:dyDescent="0.25">
      <c r="B25" s="10"/>
      <c r="C25" s="10"/>
      <c r="D25" s="10"/>
      <c r="E25" s="10"/>
      <c r="F25" s="10"/>
      <c r="G25" s="10"/>
    </row>
    <row r="26" spans="1:9" x14ac:dyDescent="0.25">
      <c r="A26" t="s">
        <v>85</v>
      </c>
      <c r="B26" s="10">
        <v>0</v>
      </c>
      <c r="C26" s="10">
        <v>0</v>
      </c>
      <c r="D26" s="10">
        <v>0</v>
      </c>
      <c r="E26" s="10">
        <v>0</v>
      </c>
      <c r="F26" s="10">
        <f>271875+2544565</f>
        <v>2816440</v>
      </c>
      <c r="G26" s="10">
        <v>0</v>
      </c>
      <c r="H26" s="10">
        <v>0</v>
      </c>
      <c r="I26" s="10">
        <v>469519</v>
      </c>
    </row>
    <row r="28" spans="1:9" x14ac:dyDescent="0.25">
      <c r="A28" t="s">
        <v>86</v>
      </c>
      <c r="B28" s="10">
        <v>1168427</v>
      </c>
      <c r="C28" s="10">
        <v>1168427</v>
      </c>
      <c r="D28" s="10">
        <v>1168427</v>
      </c>
      <c r="E28" s="10">
        <v>1168427</v>
      </c>
      <c r="F28" s="10">
        <v>1168427</v>
      </c>
      <c r="G28" s="10">
        <v>1168427</v>
      </c>
      <c r="H28" s="10">
        <v>1168427</v>
      </c>
      <c r="I28" s="10">
        <v>1168427</v>
      </c>
    </row>
    <row r="29" spans="1:9" x14ac:dyDescent="0.25">
      <c r="B29" s="10"/>
      <c r="C29" s="10"/>
      <c r="D29" s="10"/>
      <c r="E29" s="10"/>
      <c r="F29" s="10"/>
      <c r="G29" s="10"/>
      <c r="H29" s="10"/>
      <c r="I29" s="10"/>
    </row>
    <row r="30" spans="1:9" x14ac:dyDescent="0.25">
      <c r="A30" t="s">
        <v>87</v>
      </c>
      <c r="B30" s="10">
        <v>1121690</v>
      </c>
      <c r="C30" s="10">
        <v>1121690</v>
      </c>
      <c r="D30" s="10">
        <v>1121690</v>
      </c>
      <c r="E30" s="10">
        <v>1121690</v>
      </c>
      <c r="F30" s="10">
        <v>1121690</v>
      </c>
      <c r="G30" s="10">
        <v>1121690</v>
      </c>
      <c r="H30" s="10">
        <v>1121690</v>
      </c>
      <c r="I30" s="10">
        <v>1121690</v>
      </c>
    </row>
    <row r="31" spans="1:9" x14ac:dyDescent="0.25">
      <c r="B31" s="10"/>
      <c r="C31" s="10"/>
      <c r="D31" s="10"/>
      <c r="E31" s="10"/>
      <c r="F31" s="10"/>
      <c r="G31" s="10"/>
      <c r="H31" s="10"/>
      <c r="I31" s="10"/>
    </row>
    <row r="32" spans="1:9" x14ac:dyDescent="0.25">
      <c r="A32" t="s">
        <v>88</v>
      </c>
      <c r="B32" s="10">
        <v>1682534</v>
      </c>
      <c r="C32" s="10">
        <v>1682534</v>
      </c>
      <c r="D32" s="10">
        <v>1682534</v>
      </c>
      <c r="E32" s="10">
        <v>1682534</v>
      </c>
      <c r="F32" s="10">
        <v>1682534</v>
      </c>
      <c r="G32" s="10">
        <v>1682534</v>
      </c>
      <c r="H32" s="10">
        <v>1682534</v>
      </c>
      <c r="I32" s="10">
        <v>1682534</v>
      </c>
    </row>
  </sheetData>
  <pageMargins left="0.7" right="0.7" top="0.75" bottom="0.75" header="0.3" footer="0.3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8DDD4-14CD-4946-9783-4D0654366E39}">
  <sheetPr>
    <tabColor rgb="FF0070C0"/>
  </sheetPr>
  <dimension ref="B1:K30"/>
  <sheetViews>
    <sheetView view="pageBreakPreview" zoomScale="106" zoomScaleNormal="100" zoomScaleSheetLayoutView="106" workbookViewId="0">
      <selection activeCell="B1" sqref="B1:J8"/>
    </sheetView>
  </sheetViews>
  <sheetFormatPr defaultRowHeight="15" x14ac:dyDescent="0.25"/>
  <cols>
    <col min="1" max="1" width="1.85546875" customWidth="1"/>
    <col min="2" max="2" width="19.5703125" customWidth="1"/>
    <col min="3" max="3" width="20.140625" customWidth="1"/>
    <col min="4" max="4" width="15.42578125" customWidth="1"/>
    <col min="5" max="5" width="15.7109375" customWidth="1"/>
    <col min="6" max="6" width="16.28515625" customWidth="1"/>
    <col min="7" max="7" width="16" customWidth="1"/>
    <col min="8" max="8" width="15.7109375" customWidth="1"/>
    <col min="9" max="9" width="15.28515625" customWidth="1"/>
    <col min="10" max="10" width="18.28515625" style="10" customWidth="1"/>
    <col min="11" max="11" width="14.28515625" bestFit="1" customWidth="1"/>
  </cols>
  <sheetData>
    <row r="1" spans="2:11" x14ac:dyDescent="0.25">
      <c r="B1" s="4"/>
      <c r="C1" s="12">
        <v>44896</v>
      </c>
      <c r="D1" s="11">
        <v>44949</v>
      </c>
      <c r="E1" s="11">
        <v>44980</v>
      </c>
      <c r="F1" s="11">
        <v>45008</v>
      </c>
      <c r="G1" s="11">
        <v>45039</v>
      </c>
      <c r="H1" s="11">
        <v>45069</v>
      </c>
      <c r="I1" s="11">
        <v>45100</v>
      </c>
      <c r="J1" s="11">
        <v>45130</v>
      </c>
    </row>
    <row r="2" spans="2:11" x14ac:dyDescent="0.25">
      <c r="B2" s="4"/>
      <c r="C2" s="4"/>
      <c r="D2" s="4"/>
      <c r="E2" s="4"/>
      <c r="F2" s="4"/>
      <c r="G2" s="4"/>
      <c r="H2" s="4"/>
      <c r="I2" s="4"/>
      <c r="J2" s="9"/>
    </row>
    <row r="3" spans="2:11" x14ac:dyDescent="0.25">
      <c r="B3" s="4" t="s">
        <v>89</v>
      </c>
      <c r="C3" s="9">
        <v>54092195.454999998</v>
      </c>
      <c r="D3" s="9">
        <v>79956966.719999999</v>
      </c>
      <c r="E3" s="9">
        <v>43744378.149999999</v>
      </c>
      <c r="F3" s="9">
        <v>54632759.82</v>
      </c>
      <c r="G3" s="9">
        <v>24550104.469999999</v>
      </c>
      <c r="H3" s="9">
        <v>39450891.384999998</v>
      </c>
      <c r="I3" s="9">
        <v>33564805.736000001</v>
      </c>
      <c r="J3" s="9">
        <v>47443325.770000003</v>
      </c>
    </row>
    <row r="4" spans="2:11" x14ac:dyDescent="0.25">
      <c r="B4" s="4"/>
      <c r="C4" s="4"/>
      <c r="D4" s="4"/>
      <c r="E4" s="4"/>
      <c r="F4" s="4"/>
      <c r="G4" s="4"/>
      <c r="H4" s="4"/>
      <c r="I4" s="9"/>
      <c r="J4" s="9"/>
      <c r="K4" s="10"/>
    </row>
    <row r="5" spans="2:11" x14ac:dyDescent="0.25">
      <c r="B5" s="4" t="s">
        <v>90</v>
      </c>
      <c r="C5" s="9">
        <v>9559056.75</v>
      </c>
      <c r="D5" s="9">
        <v>5338438.75</v>
      </c>
      <c r="E5" s="9">
        <v>8713161.25</v>
      </c>
      <c r="F5" s="9">
        <v>10762896.5</v>
      </c>
      <c r="G5" s="9">
        <v>8058219.75</v>
      </c>
      <c r="H5" s="9">
        <v>10876830.25</v>
      </c>
      <c r="I5" s="9">
        <v>10664428.75</v>
      </c>
      <c r="J5" s="9">
        <v>15441543.539999999</v>
      </c>
    </row>
    <row r="6" spans="2:11" x14ac:dyDescent="0.25">
      <c r="B6" s="4"/>
      <c r="C6" s="4"/>
      <c r="D6" s="4"/>
      <c r="E6" s="4"/>
      <c r="F6" s="4"/>
      <c r="G6" s="4"/>
      <c r="H6" s="4"/>
      <c r="I6" s="9"/>
      <c r="J6" s="9"/>
      <c r="K6" s="10"/>
    </row>
    <row r="7" spans="2:11" s="25" customFormat="1" ht="15.75" thickBot="1" x14ac:dyDescent="0.3">
      <c r="B7" s="26" t="s">
        <v>91</v>
      </c>
      <c r="C7" s="27">
        <f>SUM(C3:C5)</f>
        <v>63651252.204999998</v>
      </c>
      <c r="D7" s="27">
        <f t="shared" ref="D7:F7" si="0">SUM(D3:D5)</f>
        <v>85295405.469999999</v>
      </c>
      <c r="E7" s="27">
        <f t="shared" si="0"/>
        <v>52457539.399999999</v>
      </c>
      <c r="F7" s="27">
        <f t="shared" si="0"/>
        <v>65395656.32</v>
      </c>
      <c r="G7" s="27">
        <f>SUM(G3:G5)</f>
        <v>32608324.219999999</v>
      </c>
      <c r="H7" s="27">
        <f>SUM(H3:H5)</f>
        <v>50327721.634999998</v>
      </c>
      <c r="I7" s="27">
        <f t="shared" ref="I7:J7" si="1">SUM(I3:I5)</f>
        <v>44229234.486000001</v>
      </c>
      <c r="J7" s="27">
        <f t="shared" si="1"/>
        <v>62884869.310000002</v>
      </c>
    </row>
    <row r="8" spans="2:11" ht="15.75" thickTop="1" x14ac:dyDescent="0.25">
      <c r="I8" s="10"/>
      <c r="K8" s="10"/>
    </row>
    <row r="9" spans="2:11" x14ac:dyDescent="0.25">
      <c r="I9" s="10"/>
    </row>
    <row r="10" spans="2:11" x14ac:dyDescent="0.25">
      <c r="B10" s="4"/>
      <c r="C10" s="12">
        <v>44896</v>
      </c>
      <c r="D10" s="11">
        <v>44949</v>
      </c>
      <c r="E10" s="11">
        <v>44980</v>
      </c>
      <c r="F10" s="11">
        <v>45008</v>
      </c>
      <c r="G10" s="11">
        <v>45039</v>
      </c>
      <c r="H10" s="11">
        <v>45069</v>
      </c>
      <c r="I10" s="11">
        <v>45100</v>
      </c>
      <c r="J10" s="11">
        <v>45130</v>
      </c>
    </row>
    <row r="11" spans="2:11" x14ac:dyDescent="0.25">
      <c r="B11" s="4"/>
      <c r="C11" s="4"/>
      <c r="D11" s="4"/>
      <c r="E11" s="4"/>
      <c r="F11" s="4"/>
      <c r="G11" s="4"/>
      <c r="H11" s="32"/>
    </row>
    <row r="12" spans="2:11" x14ac:dyDescent="0.25">
      <c r="B12" s="4" t="s">
        <v>102</v>
      </c>
      <c r="C12" s="9">
        <f>+Sheet5!F49+7361194.77</f>
        <v>12467500.039999999</v>
      </c>
      <c r="D12" s="9">
        <f>+Sheet5!F85</f>
        <v>2524919.54</v>
      </c>
      <c r="E12" s="9">
        <f>+Sheet5!F124+8438688</f>
        <v>12412815.5</v>
      </c>
      <c r="F12" s="9">
        <f>+Sheet5!F162</f>
        <v>2847239.25</v>
      </c>
      <c r="G12" s="9">
        <f>+Sheet5!F180</f>
        <v>711021.5</v>
      </c>
      <c r="H12" s="9">
        <f>+Sheet5!F225+6329725</f>
        <v>28035714.530000001</v>
      </c>
      <c r="I12" s="57">
        <f>+Sheet5!F282</f>
        <v>8909689.5800000001</v>
      </c>
      <c r="J12" s="9">
        <f>+Sheet5!F313</f>
        <v>14896499.83</v>
      </c>
    </row>
    <row r="13" spans="2:11" x14ac:dyDescent="0.25">
      <c r="B13" s="4"/>
      <c r="C13" s="9"/>
      <c r="D13" s="9"/>
      <c r="E13" s="9"/>
      <c r="F13" s="9"/>
      <c r="G13" s="9"/>
      <c r="H13" s="9"/>
      <c r="I13" s="4"/>
      <c r="J13" s="9"/>
    </row>
    <row r="14" spans="2:11" x14ac:dyDescent="0.25">
      <c r="B14" s="4" t="s">
        <v>109</v>
      </c>
      <c r="C14" s="9">
        <v>0</v>
      </c>
      <c r="D14" s="9">
        <f>+Sheet5!F89</f>
        <v>94211071.020000011</v>
      </c>
      <c r="E14" s="9">
        <f>+Sheet5!F128</f>
        <v>39701761.960000001</v>
      </c>
      <c r="F14" s="9">
        <v>0</v>
      </c>
      <c r="G14" s="9">
        <v>0</v>
      </c>
      <c r="H14" s="9">
        <f>+Sheet5!F232</f>
        <v>33178454.52</v>
      </c>
      <c r="I14" s="4">
        <v>0</v>
      </c>
      <c r="J14" s="9">
        <f>+Sheet5!F303</f>
        <v>78033736.409999996</v>
      </c>
    </row>
    <row r="15" spans="2:11" x14ac:dyDescent="0.25">
      <c r="B15" s="4"/>
      <c r="C15" s="4"/>
      <c r="D15" s="4"/>
      <c r="E15" s="4"/>
      <c r="F15" s="4"/>
      <c r="G15" s="4"/>
      <c r="H15" s="4"/>
      <c r="I15" s="4"/>
      <c r="J15" s="9"/>
    </row>
    <row r="16" spans="2:11" ht="15.75" thickBot="1" x14ac:dyDescent="0.3">
      <c r="B16" s="4"/>
      <c r="C16" s="27">
        <f>SUM(C12:C15)</f>
        <v>12467500.039999999</v>
      </c>
      <c r="D16" s="27">
        <f t="shared" ref="D16:J16" si="2">SUM(D12:D15)</f>
        <v>96735990.560000017</v>
      </c>
      <c r="E16" s="27">
        <f t="shared" si="2"/>
        <v>52114577.460000001</v>
      </c>
      <c r="F16" s="27">
        <f t="shared" si="2"/>
        <v>2847239.25</v>
      </c>
      <c r="G16" s="27">
        <f t="shared" si="2"/>
        <v>711021.5</v>
      </c>
      <c r="H16" s="27">
        <f t="shared" si="2"/>
        <v>61214169.049999997</v>
      </c>
      <c r="I16" s="27">
        <f t="shared" si="2"/>
        <v>8909689.5800000001</v>
      </c>
      <c r="J16" s="27">
        <f t="shared" si="2"/>
        <v>92930236.239999995</v>
      </c>
    </row>
    <row r="17" spans="2:10" ht="15.75" thickTop="1" x14ac:dyDescent="0.25"/>
    <row r="18" spans="2:10" x14ac:dyDescent="0.25">
      <c r="F18" s="24"/>
    </row>
    <row r="19" spans="2:10" x14ac:dyDescent="0.25">
      <c r="B19" t="s">
        <v>263</v>
      </c>
      <c r="C19" s="24">
        <f>+'Administrative exp.'!B63</f>
        <v>8072200.7800000003</v>
      </c>
      <c r="D19" s="24">
        <f>+'Administrative exp.'!C63</f>
        <v>8521411.0099999998</v>
      </c>
      <c r="E19" s="24">
        <f>+'Administrative exp.'!D63</f>
        <v>7854038.75</v>
      </c>
      <c r="F19" s="24">
        <f>+'Administrative exp.'!E63</f>
        <v>11471901.75</v>
      </c>
      <c r="G19" s="24">
        <f>+'Administrative exp.'!F63</f>
        <v>10449481.41</v>
      </c>
      <c r="H19" s="24">
        <f>+'Administrative exp.'!G63</f>
        <v>7394840.25</v>
      </c>
      <c r="I19" s="24">
        <f>+'Administrative exp.'!H63</f>
        <v>7463289.1500000004</v>
      </c>
      <c r="J19" s="10">
        <f>+'Administrative exp.'!I63</f>
        <v>9480953.370000001</v>
      </c>
    </row>
    <row r="21" spans="2:10" x14ac:dyDescent="0.25">
      <c r="B21" t="s">
        <v>264</v>
      </c>
      <c r="C21" s="24">
        <f>+'Selling &amp; Dist.'!B40</f>
        <v>4148912.5921999998</v>
      </c>
      <c r="D21" s="24">
        <f>+'Selling &amp; Dist.'!C40</f>
        <v>5961682.4100000001</v>
      </c>
      <c r="E21" s="24">
        <f>+'Selling &amp; Dist.'!D40</f>
        <v>4520924.3967000004</v>
      </c>
      <c r="F21" s="24">
        <f>+'Selling &amp; Dist.'!E40</f>
        <v>4302710.1151999999</v>
      </c>
      <c r="G21" s="24">
        <f>+'Selling &amp; Dist.'!F40</f>
        <v>2860253.5964000002</v>
      </c>
      <c r="H21" s="24">
        <f>+'Selling &amp; Dist.'!G40</f>
        <v>3603819.0432000002</v>
      </c>
      <c r="I21" s="24">
        <f>+'Selling &amp; Dist.'!H40</f>
        <v>2978488</v>
      </c>
      <c r="J21" s="10">
        <f>+'Selling &amp; Dist.'!I40</f>
        <v>3708609.24</v>
      </c>
    </row>
    <row r="23" spans="2:10" x14ac:dyDescent="0.25">
      <c r="B23" t="s">
        <v>265</v>
      </c>
      <c r="C23" s="24">
        <f>+'Finanacial exp'!B21</f>
        <v>729272</v>
      </c>
      <c r="D23" s="24">
        <f>+'Finanacial exp'!C21</f>
        <v>642142</v>
      </c>
      <c r="E23" s="24">
        <f>+'Finanacial exp'!D21</f>
        <v>604137.9</v>
      </c>
      <c r="F23" s="24">
        <f>+'Finanacial exp'!E21</f>
        <v>683402.5</v>
      </c>
      <c r="G23" s="24">
        <f>+'Finanacial exp'!F21</f>
        <v>615505.47</v>
      </c>
      <c r="H23" s="24">
        <f>+'Finanacial exp'!G21</f>
        <v>623293.75</v>
      </c>
      <c r="I23" s="24">
        <f>+'Finanacial exp'!H21</f>
        <v>611520.81000000006</v>
      </c>
      <c r="J23" s="10">
        <f>+'Finanacial exp'!I21</f>
        <v>658053.54</v>
      </c>
    </row>
    <row r="25" spans="2:10" ht="15.75" thickBot="1" x14ac:dyDescent="0.3">
      <c r="C25" s="42">
        <f>SUM(C19:C24)</f>
        <v>12950385.372200001</v>
      </c>
      <c r="D25" s="42">
        <f t="shared" ref="D25:G25" si="3">SUM(D19:D24)</f>
        <v>15125235.42</v>
      </c>
      <c r="E25" s="42">
        <f t="shared" si="3"/>
        <v>12979101.046700001</v>
      </c>
      <c r="F25" s="42">
        <f t="shared" si="3"/>
        <v>16458014.3652</v>
      </c>
      <c r="G25" s="42">
        <f t="shared" si="3"/>
        <v>13925240.476400001</v>
      </c>
      <c r="H25" s="42">
        <f>SUM(H19:H24)</f>
        <v>11621953.043200001</v>
      </c>
      <c r="I25" s="42">
        <f t="shared" ref="I25:J25" si="4">SUM(I19:I24)</f>
        <v>11053297.960000001</v>
      </c>
      <c r="J25" s="42">
        <f t="shared" si="4"/>
        <v>13847616.150000002</v>
      </c>
    </row>
    <row r="26" spans="2:10" ht="15.75" thickTop="1" x14ac:dyDescent="0.25"/>
    <row r="27" spans="2:10" x14ac:dyDescent="0.25">
      <c r="C27" s="24">
        <f>C7-C19-C21-C23</f>
        <v>50700866.832800001</v>
      </c>
      <c r="D27" s="24">
        <f t="shared" ref="D27:J27" si="5">D7-D19-D21-D23</f>
        <v>70170170.049999997</v>
      </c>
      <c r="E27" s="24">
        <f t="shared" si="5"/>
        <v>39478438.353299998</v>
      </c>
      <c r="F27" s="24">
        <f t="shared" si="5"/>
        <v>48937641.954800002</v>
      </c>
      <c r="G27" s="24">
        <f t="shared" si="5"/>
        <v>18683083.7436</v>
      </c>
      <c r="H27" s="24">
        <f t="shared" si="5"/>
        <v>38705768.591799997</v>
      </c>
      <c r="I27" s="24">
        <f t="shared" si="5"/>
        <v>33175936.526000004</v>
      </c>
      <c r="J27" s="24">
        <f t="shared" si="5"/>
        <v>49037253.159999996</v>
      </c>
    </row>
    <row r="30" spans="2:10" x14ac:dyDescent="0.25">
      <c r="C30" s="31">
        <f t="shared" ref="C30:I30" si="6">(C25/C7)*100</f>
        <v>20.345845405351991</v>
      </c>
      <c r="D30" s="31">
        <f t="shared" si="6"/>
        <v>17.73276689014607</v>
      </c>
      <c r="E30" s="31">
        <f t="shared" si="6"/>
        <v>24.74210798896145</v>
      </c>
      <c r="F30" s="31">
        <f t="shared" si="6"/>
        <v>25.166831088392382</v>
      </c>
      <c r="G30" s="31">
        <f t="shared" si="6"/>
        <v>42.704557224253463</v>
      </c>
      <c r="H30" s="31">
        <f t="shared" si="6"/>
        <v>23.092547537692646</v>
      </c>
      <c r="I30" s="31">
        <f t="shared" si="6"/>
        <v>24.990932102835131</v>
      </c>
      <c r="J30" s="31">
        <f>(J25/J7)*100</f>
        <v>22.020585081820222</v>
      </c>
    </row>
  </sheetData>
  <pageMargins left="0.7" right="0.7" top="0.75" bottom="0.75" header="0.3" footer="0.3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F4E4D-40BB-44E4-93DB-B18613F91748}">
  <sheetPr>
    <tabColor rgb="FFFFFF00"/>
  </sheetPr>
  <dimension ref="A1:J11"/>
  <sheetViews>
    <sheetView tabSelected="1" workbookViewId="0">
      <selection activeCell="G17" sqref="G17"/>
    </sheetView>
  </sheetViews>
  <sheetFormatPr defaultRowHeight="15" x14ac:dyDescent="0.25"/>
  <cols>
    <col min="1" max="1" width="15.7109375" customWidth="1"/>
    <col min="2" max="2" width="14.42578125" customWidth="1"/>
    <col min="3" max="3" width="18.5703125" customWidth="1"/>
    <col min="4" max="4" width="21.140625" customWidth="1"/>
    <col min="5" max="5" width="14.5703125" customWidth="1"/>
    <col min="6" max="6" width="18.28515625" customWidth="1"/>
    <col min="7" max="7" width="18" customWidth="1"/>
    <col min="8" max="9" width="17.85546875" customWidth="1"/>
    <col min="10" max="10" width="16.42578125" customWidth="1"/>
  </cols>
  <sheetData>
    <row r="1" spans="1:10" x14ac:dyDescent="0.25">
      <c r="A1" s="4"/>
      <c r="B1" s="4"/>
      <c r="C1" s="12">
        <v>44896</v>
      </c>
      <c r="D1" s="11">
        <v>44949</v>
      </c>
      <c r="E1" s="11">
        <v>44980</v>
      </c>
      <c r="F1" s="11">
        <v>45008</v>
      </c>
      <c r="G1" s="11">
        <v>45039</v>
      </c>
      <c r="H1" s="11">
        <v>45069</v>
      </c>
      <c r="I1" s="11">
        <v>45100</v>
      </c>
      <c r="J1" s="11">
        <v>45130</v>
      </c>
    </row>
    <row r="2" spans="1:10" x14ac:dyDescent="0.25">
      <c r="A2" s="4"/>
      <c r="B2" s="4"/>
      <c r="C2" s="4"/>
      <c r="D2" s="4"/>
      <c r="E2" s="4"/>
      <c r="F2" s="4"/>
      <c r="G2" s="4"/>
      <c r="H2" s="4"/>
      <c r="I2" s="4"/>
      <c r="J2" s="9"/>
    </row>
    <row r="3" spans="1:10" x14ac:dyDescent="0.25">
      <c r="A3" s="4" t="s">
        <v>89</v>
      </c>
      <c r="B3" s="4" t="s">
        <v>235</v>
      </c>
      <c r="C3" s="67">
        <v>24823434.984999999</v>
      </c>
      <c r="D3" s="67">
        <v>18862619.900000002</v>
      </c>
      <c r="E3" s="67">
        <v>9124139.2300000004</v>
      </c>
      <c r="F3" s="67">
        <v>19035750.100000001</v>
      </c>
      <c r="G3" s="67">
        <v>11931518.700000001</v>
      </c>
      <c r="H3" s="67">
        <v>15753853.82</v>
      </c>
      <c r="I3" s="67">
        <v>14909438.24</v>
      </c>
      <c r="J3" s="67">
        <v>12720280.92</v>
      </c>
    </row>
    <row r="4" spans="1:10" x14ac:dyDescent="0.25">
      <c r="A4" s="4"/>
      <c r="B4" s="4" t="s">
        <v>339</v>
      </c>
      <c r="C4" s="66">
        <v>29268760.469999999</v>
      </c>
      <c r="D4" s="66">
        <v>61094346.819999993</v>
      </c>
      <c r="E4" s="66">
        <v>34620238.920000002</v>
      </c>
      <c r="F4" s="66">
        <v>35597009.719999999</v>
      </c>
      <c r="G4" s="66">
        <v>12618585.769999998</v>
      </c>
      <c r="H4" s="66">
        <v>23697037.564999998</v>
      </c>
      <c r="I4" s="66">
        <v>18655367.495999999</v>
      </c>
      <c r="J4" s="66">
        <v>34723044.850000001</v>
      </c>
    </row>
    <row r="5" spans="1:10" x14ac:dyDescent="0.25">
      <c r="A5" s="4"/>
      <c r="B5" s="4"/>
      <c r="C5" s="64">
        <v>54092195.454999998</v>
      </c>
      <c r="D5" s="64">
        <v>79956966.719999999</v>
      </c>
      <c r="E5" s="64">
        <v>43744378.149999999</v>
      </c>
      <c r="F5" s="64">
        <v>54632759.82</v>
      </c>
      <c r="G5" s="64">
        <v>24550104.469999999</v>
      </c>
      <c r="H5" s="64">
        <v>39450891.384999998</v>
      </c>
      <c r="I5" s="64">
        <v>33564805.736000001</v>
      </c>
      <c r="J5" s="64">
        <v>47443325.770000003</v>
      </c>
    </row>
    <row r="6" spans="1:10" x14ac:dyDescent="0.25">
      <c r="A6" s="4"/>
      <c r="B6" s="4"/>
      <c r="C6" s="4"/>
      <c r="D6" s="4"/>
      <c r="E6" s="4"/>
      <c r="F6" s="4"/>
      <c r="G6" s="4"/>
      <c r="H6" s="4"/>
      <c r="I6" s="9"/>
      <c r="J6" s="9"/>
    </row>
    <row r="7" spans="1:10" x14ac:dyDescent="0.25">
      <c r="A7" s="4" t="s">
        <v>90</v>
      </c>
      <c r="B7" s="4"/>
      <c r="C7" s="64">
        <v>9559056.75</v>
      </c>
      <c r="D7" s="64">
        <v>5338438.75</v>
      </c>
      <c r="E7" s="64">
        <v>8713161.25</v>
      </c>
      <c r="F7" s="64">
        <v>10762896.5</v>
      </c>
      <c r="G7" s="64">
        <v>8058219.75</v>
      </c>
      <c r="H7" s="64">
        <v>10876830.25</v>
      </c>
      <c r="I7" s="64">
        <v>10664428.75</v>
      </c>
      <c r="J7" s="64">
        <v>15441543.539999999</v>
      </c>
    </row>
    <row r="8" spans="1:10" x14ac:dyDescent="0.25">
      <c r="A8" s="4"/>
      <c r="B8" s="4"/>
      <c r="C8" s="4"/>
      <c r="D8" s="4"/>
      <c r="E8" s="4"/>
      <c r="F8" s="4"/>
      <c r="G8" s="4"/>
      <c r="H8" s="4"/>
      <c r="I8" s="9"/>
      <c r="J8" s="9"/>
    </row>
    <row r="9" spans="1:10" ht="15.75" thickBot="1" x14ac:dyDescent="0.3">
      <c r="A9" s="26" t="s">
        <v>91</v>
      </c>
      <c r="B9" s="26"/>
      <c r="C9" s="65">
        <f>C7+C5</f>
        <v>63651252.204999998</v>
      </c>
      <c r="D9" s="65">
        <f t="shared" ref="D9:J9" si="0">D7+D5</f>
        <v>85295405.469999999</v>
      </c>
      <c r="E9" s="65">
        <f t="shared" si="0"/>
        <v>52457539.399999999</v>
      </c>
      <c r="F9" s="65">
        <f t="shared" si="0"/>
        <v>65395656.32</v>
      </c>
      <c r="G9" s="65">
        <f t="shared" si="0"/>
        <v>32608324.219999999</v>
      </c>
      <c r="H9" s="65">
        <f t="shared" si="0"/>
        <v>50327721.634999998</v>
      </c>
      <c r="I9" s="65">
        <f t="shared" si="0"/>
        <v>44229234.486000001</v>
      </c>
      <c r="J9" s="65">
        <f t="shared" si="0"/>
        <v>62884869.310000002</v>
      </c>
    </row>
    <row r="10" spans="1:10" ht="15.75" thickTop="1" x14ac:dyDescent="0.25">
      <c r="I10" s="10"/>
      <c r="J10" s="10"/>
    </row>
    <row r="11" spans="1:10" x14ac:dyDescent="0.25">
      <c r="C11" s="24"/>
      <c r="D11" s="24"/>
      <c r="E11" s="24"/>
      <c r="F11" s="24"/>
      <c r="G11" s="24"/>
      <c r="H11" s="24"/>
      <c r="I11" s="24"/>
      <c r="J11" s="24"/>
    </row>
  </sheetData>
  <pageMargins left="0.7" right="0.7" top="0.75" bottom="0.75" header="0.3" footer="0.3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B93E1-DA9C-46F7-A272-0EE437B8DFCB}">
  <dimension ref="A1:H27"/>
  <sheetViews>
    <sheetView workbookViewId="0">
      <selection activeCell="G26" sqref="G26"/>
    </sheetView>
  </sheetViews>
  <sheetFormatPr defaultRowHeight="15" x14ac:dyDescent="0.25"/>
  <cols>
    <col min="1" max="1" width="13.140625" customWidth="1"/>
    <col min="2" max="2" width="6.7109375" customWidth="1"/>
    <col min="3" max="3" width="18.85546875" style="29" customWidth="1"/>
    <col min="4" max="4" width="35.5703125" customWidth="1"/>
    <col min="5" max="5" width="10.7109375" hidden="1" customWidth="1"/>
    <col min="6" max="6" width="14.140625" customWidth="1"/>
    <col min="7" max="7" width="15.5703125" style="10" customWidth="1"/>
    <col min="8" max="8" width="34.140625" style="29" customWidth="1"/>
  </cols>
  <sheetData>
    <row r="1" spans="1:8" x14ac:dyDescent="0.25">
      <c r="A1" s="25" t="s">
        <v>92</v>
      </c>
      <c r="B1" s="25" t="s">
        <v>95</v>
      </c>
      <c r="C1" s="44" t="s">
        <v>93</v>
      </c>
      <c r="D1" s="25" t="s">
        <v>94</v>
      </c>
      <c r="E1" s="25" t="s">
        <v>267</v>
      </c>
      <c r="F1" s="25" t="s">
        <v>268</v>
      </c>
      <c r="G1" s="17"/>
      <c r="H1" s="44" t="s">
        <v>269</v>
      </c>
    </row>
    <row r="3" spans="1:8" x14ac:dyDescent="0.25">
      <c r="A3" t="s">
        <v>293</v>
      </c>
      <c r="B3" t="s">
        <v>271</v>
      </c>
      <c r="C3" s="29" t="s">
        <v>294</v>
      </c>
      <c r="D3" t="s">
        <v>295</v>
      </c>
      <c r="E3" t="s">
        <v>104</v>
      </c>
      <c r="F3" s="28">
        <v>1079338.75</v>
      </c>
      <c r="H3" s="29" t="s">
        <v>296</v>
      </c>
    </row>
    <row r="4" spans="1:8" x14ac:dyDescent="0.25">
      <c r="F4" s="28"/>
      <c r="G4" s="10">
        <f>SUM(F3)</f>
        <v>1079338.75</v>
      </c>
    </row>
    <row r="5" spans="1:8" x14ac:dyDescent="0.25">
      <c r="F5" s="28"/>
    </row>
    <row r="6" spans="1:8" x14ac:dyDescent="0.25">
      <c r="A6" t="s">
        <v>270</v>
      </c>
      <c r="B6" t="s">
        <v>271</v>
      </c>
      <c r="C6" s="29" t="s">
        <v>287</v>
      </c>
      <c r="D6" t="s">
        <v>273</v>
      </c>
      <c r="E6" t="s">
        <v>104</v>
      </c>
      <c r="F6" s="28">
        <v>7000000</v>
      </c>
      <c r="H6" s="29" t="s">
        <v>288</v>
      </c>
    </row>
    <row r="7" spans="1:8" x14ac:dyDescent="0.25">
      <c r="A7" t="s">
        <v>270</v>
      </c>
      <c r="B7" t="s">
        <v>271</v>
      </c>
      <c r="C7" s="29" t="s">
        <v>272</v>
      </c>
      <c r="D7" t="s">
        <v>273</v>
      </c>
      <c r="E7" t="s">
        <v>104</v>
      </c>
      <c r="F7" s="28">
        <v>3000000</v>
      </c>
      <c r="H7" s="29" t="s">
        <v>274</v>
      </c>
    </row>
    <row r="8" spans="1:8" x14ac:dyDescent="0.25">
      <c r="A8" t="s">
        <v>275</v>
      </c>
      <c r="B8" t="s">
        <v>271</v>
      </c>
      <c r="C8" s="29" t="s">
        <v>276</v>
      </c>
      <c r="D8" t="s">
        <v>203</v>
      </c>
      <c r="E8" t="s">
        <v>104</v>
      </c>
      <c r="F8" s="28">
        <v>3275148.24</v>
      </c>
      <c r="H8" s="29" t="s">
        <v>277</v>
      </c>
    </row>
    <row r="9" spans="1:8" ht="17.25" customHeight="1" x14ac:dyDescent="0.25">
      <c r="A9" t="s">
        <v>278</v>
      </c>
      <c r="B9" t="s">
        <v>271</v>
      </c>
      <c r="C9" s="29" t="s">
        <v>279</v>
      </c>
      <c r="D9" t="s">
        <v>144</v>
      </c>
      <c r="E9" t="s">
        <v>104</v>
      </c>
      <c r="F9" s="28">
        <v>3454888.2</v>
      </c>
      <c r="H9" s="29" t="s">
        <v>280</v>
      </c>
    </row>
    <row r="10" spans="1:8" ht="17.25" customHeight="1" x14ac:dyDescent="0.25">
      <c r="F10" s="28"/>
      <c r="G10" s="10">
        <f>SUM(F6:F9)</f>
        <v>16730036.440000001</v>
      </c>
    </row>
    <row r="12" spans="1:8" x14ac:dyDescent="0.25">
      <c r="A12" t="s">
        <v>284</v>
      </c>
      <c r="B12" t="s">
        <v>285</v>
      </c>
      <c r="C12" s="29">
        <v>1743</v>
      </c>
      <c r="D12" t="s">
        <v>108</v>
      </c>
      <c r="E12" t="s">
        <v>104</v>
      </c>
      <c r="F12" s="28">
        <v>5335000</v>
      </c>
      <c r="H12" s="29" t="s">
        <v>286</v>
      </c>
    </row>
    <row r="13" spans="1:8" x14ac:dyDescent="0.25">
      <c r="F13" s="28"/>
      <c r="G13" s="10">
        <f>SUM(F12)</f>
        <v>5335000</v>
      </c>
    </row>
    <row r="15" spans="1:8" x14ac:dyDescent="0.25">
      <c r="A15" t="s">
        <v>289</v>
      </c>
      <c r="B15" t="s">
        <v>271</v>
      </c>
      <c r="C15" s="29" t="s">
        <v>290</v>
      </c>
      <c r="D15" t="s">
        <v>273</v>
      </c>
      <c r="E15" t="s">
        <v>104</v>
      </c>
      <c r="F15" s="28">
        <v>9566505</v>
      </c>
      <c r="H15" s="29" t="s">
        <v>291</v>
      </c>
    </row>
    <row r="16" spans="1:8" x14ac:dyDescent="0.25">
      <c r="A16" t="s">
        <v>281</v>
      </c>
      <c r="B16" t="s">
        <v>271</v>
      </c>
      <c r="C16" s="29" t="s">
        <v>292</v>
      </c>
      <c r="D16" t="s">
        <v>152</v>
      </c>
      <c r="E16" t="s">
        <v>104</v>
      </c>
      <c r="F16" s="28">
        <v>4730000</v>
      </c>
      <c r="H16" s="29">
        <v>2445</v>
      </c>
    </row>
    <row r="17" spans="1:8" x14ac:dyDescent="0.25">
      <c r="A17" t="s">
        <v>281</v>
      </c>
      <c r="B17" t="s">
        <v>271</v>
      </c>
      <c r="C17" s="29" t="s">
        <v>282</v>
      </c>
      <c r="D17" t="s">
        <v>283</v>
      </c>
      <c r="E17" t="s">
        <v>104</v>
      </c>
      <c r="F17" s="28">
        <v>4775000</v>
      </c>
      <c r="H17" s="29">
        <v>2448</v>
      </c>
    </row>
    <row r="18" spans="1:8" x14ac:dyDescent="0.25">
      <c r="F18" s="28"/>
      <c r="G18" s="10">
        <f>SUM(F15:F17)</f>
        <v>19071505</v>
      </c>
    </row>
    <row r="20" spans="1:8" x14ac:dyDescent="0.25">
      <c r="A20" t="s">
        <v>297</v>
      </c>
      <c r="B20" t="s">
        <v>271</v>
      </c>
      <c r="C20" s="29" t="s">
        <v>298</v>
      </c>
      <c r="D20" t="s">
        <v>152</v>
      </c>
      <c r="E20" t="s">
        <v>104</v>
      </c>
      <c r="F20" s="28">
        <v>2158704</v>
      </c>
      <c r="H20" s="29">
        <v>2098</v>
      </c>
    </row>
    <row r="21" spans="1:8" x14ac:dyDescent="0.25">
      <c r="F21" s="28"/>
      <c r="G21" s="10">
        <f>SUM(F20)</f>
        <v>2158704</v>
      </c>
    </row>
    <row r="22" spans="1:8" x14ac:dyDescent="0.25">
      <c r="F22" s="28"/>
    </row>
    <row r="23" spans="1:8" x14ac:dyDescent="0.25">
      <c r="A23" t="s">
        <v>299</v>
      </c>
      <c r="B23" t="s">
        <v>285</v>
      </c>
      <c r="C23" s="29" t="s">
        <v>300</v>
      </c>
      <c r="D23" t="s">
        <v>108</v>
      </c>
      <c r="E23" t="s">
        <v>104</v>
      </c>
      <c r="F23" s="28">
        <v>4443600</v>
      </c>
      <c r="H23" s="29" t="s">
        <v>301</v>
      </c>
    </row>
    <row r="24" spans="1:8" x14ac:dyDescent="0.25">
      <c r="G24" s="10">
        <f>SUM(F23)</f>
        <v>4443600</v>
      </c>
    </row>
    <row r="26" spans="1:8" ht="15.75" thickBot="1" x14ac:dyDescent="0.3">
      <c r="G26" s="19">
        <f>SUM(G3:G24)</f>
        <v>48818184.189999998</v>
      </c>
    </row>
    <row r="27" spans="1:8" ht="15.75" thickTop="1" x14ac:dyDescent="0.25"/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62D00-AA4C-46F3-BDF9-D0446EEDF7F1}">
  <dimension ref="B1:M319"/>
  <sheetViews>
    <sheetView topLeftCell="A306" workbookViewId="0">
      <selection activeCell="F313" sqref="F313"/>
    </sheetView>
  </sheetViews>
  <sheetFormatPr defaultRowHeight="15" x14ac:dyDescent="0.25"/>
  <cols>
    <col min="2" max="2" width="21" style="29" customWidth="1"/>
    <col min="3" max="3" width="13.28515625" customWidth="1"/>
    <col min="4" max="4" width="43" customWidth="1"/>
    <col min="5" max="5" width="17.85546875" customWidth="1"/>
    <col min="6" max="6" width="20.7109375" customWidth="1"/>
    <col min="7" max="7" width="1.5703125" hidden="1" customWidth="1"/>
    <col min="8" max="9" width="9.140625" hidden="1" customWidth="1"/>
    <col min="13" max="13" width="13.85546875" bestFit="1" customWidth="1"/>
  </cols>
  <sheetData>
    <row r="1" spans="2:9" x14ac:dyDescent="0.25">
      <c r="B1" s="29" t="s">
        <v>92</v>
      </c>
      <c r="C1" t="s">
        <v>93</v>
      </c>
      <c r="D1" t="s">
        <v>94</v>
      </c>
      <c r="E1" t="s">
        <v>95</v>
      </c>
      <c r="F1" t="s">
        <v>96</v>
      </c>
      <c r="G1" t="s">
        <v>97</v>
      </c>
      <c r="H1" t="s">
        <v>98</v>
      </c>
      <c r="I1" t="s">
        <v>99</v>
      </c>
    </row>
    <row r="2" spans="2:9" x14ac:dyDescent="0.25">
      <c r="B2" s="29" t="s">
        <v>100</v>
      </c>
      <c r="C2">
        <v>150</v>
      </c>
      <c r="D2" t="s">
        <v>101</v>
      </c>
      <c r="E2" t="s">
        <v>102</v>
      </c>
      <c r="F2" s="28">
        <v>4750</v>
      </c>
      <c r="G2" s="28">
        <v>4750</v>
      </c>
      <c r="H2" t="s">
        <v>103</v>
      </c>
      <c r="I2" t="s">
        <v>104</v>
      </c>
    </row>
    <row r="3" spans="2:9" x14ac:dyDescent="0.25">
      <c r="B3" s="29" t="s">
        <v>105</v>
      </c>
      <c r="C3">
        <v>147</v>
      </c>
      <c r="D3" t="s">
        <v>106</v>
      </c>
      <c r="E3" t="s">
        <v>102</v>
      </c>
      <c r="F3" s="28">
        <v>139800</v>
      </c>
      <c r="G3" s="28">
        <v>139800</v>
      </c>
      <c r="H3" t="s">
        <v>103</v>
      </c>
      <c r="I3" t="s">
        <v>104</v>
      </c>
    </row>
    <row r="4" spans="2:9" x14ac:dyDescent="0.25">
      <c r="B4" s="30">
        <v>44785</v>
      </c>
      <c r="C4" t="s">
        <v>107</v>
      </c>
      <c r="D4" t="s">
        <v>108</v>
      </c>
      <c r="E4" t="s">
        <v>109</v>
      </c>
      <c r="F4" s="28"/>
      <c r="G4">
        <v>0</v>
      </c>
      <c r="H4" t="s">
        <v>110</v>
      </c>
      <c r="I4" t="s">
        <v>104</v>
      </c>
    </row>
    <row r="5" spans="2:9" x14ac:dyDescent="0.25">
      <c r="B5" s="30">
        <v>44785</v>
      </c>
      <c r="C5" t="s">
        <v>111</v>
      </c>
      <c r="D5" t="s">
        <v>108</v>
      </c>
      <c r="E5" t="s">
        <v>109</v>
      </c>
      <c r="F5" s="28"/>
      <c r="G5">
        <v>0</v>
      </c>
      <c r="H5" t="s">
        <v>110</v>
      </c>
      <c r="I5" t="s">
        <v>104</v>
      </c>
    </row>
    <row r="6" spans="2:9" x14ac:dyDescent="0.25">
      <c r="B6" s="30">
        <v>44907</v>
      </c>
      <c r="C6" t="s">
        <v>112</v>
      </c>
      <c r="D6" t="s">
        <v>108</v>
      </c>
      <c r="E6" t="s">
        <v>109</v>
      </c>
      <c r="F6" s="28"/>
      <c r="G6">
        <v>0</v>
      </c>
      <c r="H6" t="s">
        <v>110</v>
      </c>
      <c r="I6" t="s">
        <v>104</v>
      </c>
    </row>
    <row r="7" spans="2:9" x14ac:dyDescent="0.25">
      <c r="B7" s="30">
        <v>44907</v>
      </c>
      <c r="C7" t="s">
        <v>113</v>
      </c>
      <c r="D7" t="s">
        <v>108</v>
      </c>
      <c r="E7" t="s">
        <v>109</v>
      </c>
      <c r="F7" s="28"/>
      <c r="G7">
        <v>0</v>
      </c>
      <c r="H7" t="s">
        <v>110</v>
      </c>
      <c r="I7" t="s">
        <v>104</v>
      </c>
    </row>
    <row r="8" spans="2:9" x14ac:dyDescent="0.25">
      <c r="B8" s="29" t="s">
        <v>114</v>
      </c>
      <c r="C8" t="s">
        <v>115</v>
      </c>
      <c r="D8" t="s">
        <v>108</v>
      </c>
      <c r="E8" t="s">
        <v>109</v>
      </c>
      <c r="F8" s="28"/>
      <c r="G8">
        <v>0</v>
      </c>
      <c r="H8" t="s">
        <v>110</v>
      </c>
      <c r="I8" t="s">
        <v>104</v>
      </c>
    </row>
    <row r="9" spans="2:9" x14ac:dyDescent="0.25">
      <c r="B9" s="29" t="s">
        <v>116</v>
      </c>
      <c r="C9" t="s">
        <v>117</v>
      </c>
      <c r="D9" t="s">
        <v>108</v>
      </c>
      <c r="E9" t="s">
        <v>109</v>
      </c>
      <c r="F9" s="28"/>
      <c r="G9">
        <v>0</v>
      </c>
      <c r="H9" t="s">
        <v>110</v>
      </c>
      <c r="I9" t="s">
        <v>104</v>
      </c>
    </row>
    <row r="10" spans="2:9" x14ac:dyDescent="0.25">
      <c r="B10" s="29" t="s">
        <v>118</v>
      </c>
      <c r="C10" t="s">
        <v>119</v>
      </c>
      <c r="D10" t="s">
        <v>108</v>
      </c>
      <c r="E10" t="s">
        <v>109</v>
      </c>
      <c r="F10" s="28"/>
      <c r="G10">
        <v>0</v>
      </c>
      <c r="H10" t="s">
        <v>110</v>
      </c>
      <c r="I10" t="s">
        <v>104</v>
      </c>
    </row>
    <row r="11" spans="2:9" x14ac:dyDescent="0.25">
      <c r="B11" s="29" t="s">
        <v>120</v>
      </c>
      <c r="C11" t="s">
        <v>121</v>
      </c>
      <c r="D11" t="s">
        <v>108</v>
      </c>
      <c r="E11" t="s">
        <v>109</v>
      </c>
      <c r="F11" s="28"/>
      <c r="G11">
        <v>0</v>
      </c>
      <c r="H11" t="s">
        <v>110</v>
      </c>
      <c r="I11" t="s">
        <v>104</v>
      </c>
    </row>
    <row r="12" spans="2:9" x14ac:dyDescent="0.25">
      <c r="B12" s="29" t="s">
        <v>122</v>
      </c>
      <c r="C12" t="s">
        <v>123</v>
      </c>
      <c r="D12" t="s">
        <v>108</v>
      </c>
      <c r="E12" t="s">
        <v>109</v>
      </c>
      <c r="F12" s="28"/>
      <c r="G12">
        <v>0</v>
      </c>
      <c r="H12" t="s">
        <v>110</v>
      </c>
      <c r="I12" t="s">
        <v>104</v>
      </c>
    </row>
    <row r="13" spans="2:9" x14ac:dyDescent="0.25">
      <c r="B13" s="29" t="s">
        <v>124</v>
      </c>
      <c r="C13" t="s">
        <v>125</v>
      </c>
      <c r="D13" t="s">
        <v>108</v>
      </c>
      <c r="E13" t="s">
        <v>109</v>
      </c>
      <c r="F13" s="28"/>
      <c r="G13">
        <v>0</v>
      </c>
      <c r="H13" t="s">
        <v>110</v>
      </c>
      <c r="I13" t="s">
        <v>104</v>
      </c>
    </row>
    <row r="14" spans="2:9" x14ac:dyDescent="0.25">
      <c r="B14" s="29" t="s">
        <v>126</v>
      </c>
      <c r="C14" t="s">
        <v>127</v>
      </c>
      <c r="D14" t="s">
        <v>108</v>
      </c>
      <c r="E14" t="s">
        <v>109</v>
      </c>
      <c r="F14" s="28"/>
      <c r="G14">
        <v>0</v>
      </c>
      <c r="H14" t="s">
        <v>110</v>
      </c>
      <c r="I14" t="s">
        <v>104</v>
      </c>
    </row>
    <row r="15" spans="2:9" x14ac:dyDescent="0.25">
      <c r="B15" s="29" t="s">
        <v>100</v>
      </c>
      <c r="C15">
        <v>153</v>
      </c>
      <c r="D15" t="s">
        <v>128</v>
      </c>
      <c r="E15" t="s">
        <v>102</v>
      </c>
      <c r="F15" s="28">
        <v>110250</v>
      </c>
      <c r="G15" s="28">
        <v>110250</v>
      </c>
      <c r="H15" t="s">
        <v>103</v>
      </c>
      <c r="I15" t="s">
        <v>104</v>
      </c>
    </row>
    <row r="16" spans="2:9" x14ac:dyDescent="0.25">
      <c r="B16" s="29" t="s">
        <v>120</v>
      </c>
      <c r="C16">
        <v>161</v>
      </c>
      <c r="D16" t="s">
        <v>129</v>
      </c>
      <c r="E16" t="s">
        <v>130</v>
      </c>
      <c r="F16" s="28">
        <v>408735.02</v>
      </c>
      <c r="G16" s="28">
        <v>408735.02</v>
      </c>
      <c r="H16" t="s">
        <v>103</v>
      </c>
      <c r="I16" t="s">
        <v>104</v>
      </c>
    </row>
    <row r="17" spans="2:9" x14ac:dyDescent="0.25">
      <c r="B17" s="29" t="s">
        <v>120</v>
      </c>
      <c r="C17">
        <v>158</v>
      </c>
      <c r="D17" t="s">
        <v>131</v>
      </c>
      <c r="E17" t="s">
        <v>102</v>
      </c>
      <c r="F17" s="28">
        <v>770000</v>
      </c>
      <c r="G17">
        <v>0</v>
      </c>
      <c r="H17" t="s">
        <v>110</v>
      </c>
      <c r="I17" t="s">
        <v>104</v>
      </c>
    </row>
    <row r="18" spans="2:9" x14ac:dyDescent="0.25">
      <c r="B18" s="29" t="s">
        <v>100</v>
      </c>
      <c r="C18">
        <v>152</v>
      </c>
      <c r="D18" t="s">
        <v>132</v>
      </c>
      <c r="E18" t="s">
        <v>102</v>
      </c>
      <c r="F18" s="28">
        <v>85000</v>
      </c>
      <c r="G18" s="28">
        <v>85000</v>
      </c>
      <c r="H18" t="s">
        <v>103</v>
      </c>
      <c r="I18" t="s">
        <v>104</v>
      </c>
    </row>
    <row r="19" spans="2:9" x14ac:dyDescent="0.25">
      <c r="B19" s="30">
        <v>44907</v>
      </c>
      <c r="C19">
        <v>143</v>
      </c>
      <c r="D19" t="s">
        <v>133</v>
      </c>
      <c r="E19" t="s">
        <v>102</v>
      </c>
      <c r="F19" s="28">
        <v>125000</v>
      </c>
      <c r="G19" s="28">
        <v>125000</v>
      </c>
      <c r="H19" t="s">
        <v>103</v>
      </c>
      <c r="I19" t="s">
        <v>104</v>
      </c>
    </row>
    <row r="20" spans="2:9" x14ac:dyDescent="0.25">
      <c r="B20" s="29" t="s">
        <v>105</v>
      </c>
      <c r="C20">
        <v>145</v>
      </c>
      <c r="D20" t="s">
        <v>133</v>
      </c>
      <c r="E20" t="s">
        <v>102</v>
      </c>
      <c r="F20" s="28">
        <v>6500</v>
      </c>
      <c r="G20" s="28">
        <v>6500</v>
      </c>
      <c r="H20" t="s">
        <v>103</v>
      </c>
      <c r="I20" t="s">
        <v>104</v>
      </c>
    </row>
    <row r="21" spans="2:9" x14ac:dyDescent="0.25">
      <c r="B21" s="29" t="s">
        <v>120</v>
      </c>
      <c r="C21">
        <v>159</v>
      </c>
      <c r="D21" t="s">
        <v>134</v>
      </c>
      <c r="E21" t="s">
        <v>102</v>
      </c>
      <c r="F21" s="28">
        <v>200000</v>
      </c>
      <c r="G21" s="28">
        <v>200000</v>
      </c>
      <c r="H21" t="s">
        <v>103</v>
      </c>
      <c r="I21" t="s">
        <v>104</v>
      </c>
    </row>
    <row r="22" spans="2:9" x14ac:dyDescent="0.25">
      <c r="B22" s="29" t="s">
        <v>120</v>
      </c>
      <c r="C22">
        <v>160</v>
      </c>
      <c r="D22" t="s">
        <v>134</v>
      </c>
      <c r="E22" t="s">
        <v>102</v>
      </c>
      <c r="F22" s="28">
        <v>410000</v>
      </c>
      <c r="G22" s="28">
        <v>320000</v>
      </c>
      <c r="H22" t="s">
        <v>135</v>
      </c>
      <c r="I22" t="s">
        <v>104</v>
      </c>
    </row>
    <row r="23" spans="2:9" x14ac:dyDescent="0.25">
      <c r="B23" s="30">
        <v>44724</v>
      </c>
      <c r="C23">
        <v>142</v>
      </c>
      <c r="D23" t="s">
        <v>136</v>
      </c>
      <c r="E23" t="s">
        <v>102</v>
      </c>
      <c r="F23" s="28">
        <v>70800</v>
      </c>
      <c r="G23" s="28">
        <v>70800</v>
      </c>
      <c r="H23" t="s">
        <v>103</v>
      </c>
      <c r="I23" t="s">
        <v>104</v>
      </c>
    </row>
    <row r="24" spans="2:9" x14ac:dyDescent="0.25">
      <c r="B24" s="29" t="s">
        <v>116</v>
      </c>
      <c r="C24">
        <v>144</v>
      </c>
      <c r="D24" t="s">
        <v>136</v>
      </c>
      <c r="E24" t="s">
        <v>102</v>
      </c>
      <c r="F24" s="28">
        <v>73750</v>
      </c>
      <c r="G24" s="28">
        <v>73750</v>
      </c>
      <c r="H24" t="s">
        <v>103</v>
      </c>
      <c r="I24" t="s">
        <v>104</v>
      </c>
    </row>
    <row r="25" spans="2:9" x14ac:dyDescent="0.25">
      <c r="B25" s="29" t="s">
        <v>137</v>
      </c>
      <c r="C25">
        <v>148</v>
      </c>
      <c r="D25" t="s">
        <v>136</v>
      </c>
      <c r="E25" t="s">
        <v>102</v>
      </c>
      <c r="F25" s="28">
        <v>30800</v>
      </c>
      <c r="G25" s="28">
        <v>30800</v>
      </c>
      <c r="H25" t="s">
        <v>103</v>
      </c>
      <c r="I25" t="s">
        <v>104</v>
      </c>
    </row>
    <row r="26" spans="2:9" x14ac:dyDescent="0.25">
      <c r="B26" s="29" t="s">
        <v>138</v>
      </c>
      <c r="C26">
        <v>165</v>
      </c>
      <c r="D26" t="s">
        <v>136</v>
      </c>
      <c r="E26" t="s">
        <v>102</v>
      </c>
      <c r="F26" s="28">
        <v>110800</v>
      </c>
      <c r="G26" s="28">
        <v>110800</v>
      </c>
      <c r="H26" t="s">
        <v>103</v>
      </c>
      <c r="I26" t="s">
        <v>104</v>
      </c>
    </row>
    <row r="27" spans="2:9" x14ac:dyDescent="0.25">
      <c r="B27" s="29" t="s">
        <v>138</v>
      </c>
      <c r="C27">
        <v>167</v>
      </c>
      <c r="D27" t="s">
        <v>136</v>
      </c>
      <c r="E27" t="s">
        <v>102</v>
      </c>
      <c r="F27" s="28">
        <v>7800</v>
      </c>
      <c r="G27" s="28">
        <v>7800</v>
      </c>
      <c r="H27" t="s">
        <v>103</v>
      </c>
      <c r="I27" t="s">
        <v>104</v>
      </c>
    </row>
    <row r="28" spans="2:9" x14ac:dyDescent="0.25">
      <c r="B28" s="30">
        <v>44724</v>
      </c>
      <c r="C28">
        <v>141</v>
      </c>
      <c r="D28" t="s">
        <v>139</v>
      </c>
      <c r="E28" t="s">
        <v>102</v>
      </c>
      <c r="F28" s="28">
        <v>130000</v>
      </c>
      <c r="G28" s="28">
        <v>130000</v>
      </c>
      <c r="H28" t="s">
        <v>103</v>
      </c>
      <c r="I28" t="s">
        <v>104</v>
      </c>
    </row>
    <row r="29" spans="2:9" x14ac:dyDescent="0.25">
      <c r="B29" s="29" t="s">
        <v>118</v>
      </c>
      <c r="C29">
        <v>149</v>
      </c>
      <c r="D29" t="s">
        <v>139</v>
      </c>
      <c r="E29" t="s">
        <v>102</v>
      </c>
      <c r="F29" s="28">
        <v>195000</v>
      </c>
      <c r="G29" s="28">
        <v>195000</v>
      </c>
      <c r="H29" t="s">
        <v>103</v>
      </c>
      <c r="I29" t="s">
        <v>104</v>
      </c>
    </row>
    <row r="30" spans="2:9" x14ac:dyDescent="0.25">
      <c r="B30" s="29" t="s">
        <v>100</v>
      </c>
      <c r="C30">
        <v>151</v>
      </c>
      <c r="D30" t="s">
        <v>139</v>
      </c>
      <c r="E30" t="s">
        <v>102</v>
      </c>
      <c r="F30" s="28">
        <v>65000</v>
      </c>
      <c r="G30" s="28">
        <v>65000</v>
      </c>
      <c r="H30" t="s">
        <v>103</v>
      </c>
      <c r="I30" t="s">
        <v>104</v>
      </c>
    </row>
    <row r="31" spans="2:9" x14ac:dyDescent="0.25">
      <c r="B31" s="29" t="s">
        <v>140</v>
      </c>
      <c r="C31">
        <v>155</v>
      </c>
      <c r="D31" t="s">
        <v>141</v>
      </c>
      <c r="E31" t="s">
        <v>102</v>
      </c>
      <c r="F31" s="28">
        <v>1168000</v>
      </c>
      <c r="G31" s="28">
        <v>1168000</v>
      </c>
      <c r="H31" t="s">
        <v>103</v>
      </c>
      <c r="I31" t="s">
        <v>104</v>
      </c>
    </row>
    <row r="32" spans="2:9" x14ac:dyDescent="0.25">
      <c r="B32" s="29" t="s">
        <v>140</v>
      </c>
      <c r="C32">
        <v>156</v>
      </c>
      <c r="D32" t="s">
        <v>141</v>
      </c>
      <c r="E32" t="s">
        <v>102</v>
      </c>
      <c r="F32" s="28">
        <v>12500</v>
      </c>
      <c r="G32" s="28">
        <v>12500</v>
      </c>
      <c r="H32" t="s">
        <v>103</v>
      </c>
      <c r="I32" t="s">
        <v>104</v>
      </c>
    </row>
    <row r="33" spans="2:9" x14ac:dyDescent="0.25">
      <c r="B33" s="29" t="s">
        <v>140</v>
      </c>
      <c r="C33">
        <v>157</v>
      </c>
      <c r="D33" t="s">
        <v>141</v>
      </c>
      <c r="E33" t="s">
        <v>102</v>
      </c>
      <c r="F33" s="28">
        <v>115000</v>
      </c>
      <c r="G33" s="28">
        <v>115000</v>
      </c>
      <c r="H33" t="s">
        <v>103</v>
      </c>
      <c r="I33" t="s">
        <v>104</v>
      </c>
    </row>
    <row r="34" spans="2:9" x14ac:dyDescent="0.25">
      <c r="B34" s="30">
        <v>44693</v>
      </c>
      <c r="C34">
        <v>140</v>
      </c>
      <c r="D34" t="s">
        <v>142</v>
      </c>
      <c r="E34" t="s">
        <v>102</v>
      </c>
      <c r="F34" s="28">
        <v>361600</v>
      </c>
      <c r="G34" s="28">
        <v>361600</v>
      </c>
      <c r="H34" t="s">
        <v>103</v>
      </c>
      <c r="I34" t="s">
        <v>104</v>
      </c>
    </row>
    <row r="35" spans="2:9" x14ac:dyDescent="0.25">
      <c r="B35" s="30">
        <v>44632</v>
      </c>
      <c r="C35" t="s">
        <v>143</v>
      </c>
      <c r="D35" t="s">
        <v>144</v>
      </c>
      <c r="E35" t="s">
        <v>109</v>
      </c>
      <c r="F35">
        <v>0</v>
      </c>
      <c r="G35">
        <v>0</v>
      </c>
      <c r="H35" t="s">
        <v>145</v>
      </c>
      <c r="I35" t="s">
        <v>104</v>
      </c>
    </row>
    <row r="36" spans="2:9" x14ac:dyDescent="0.25">
      <c r="B36" s="30">
        <v>44785</v>
      </c>
      <c r="C36" t="s">
        <v>146</v>
      </c>
      <c r="D36" t="s">
        <v>144</v>
      </c>
      <c r="E36" t="s">
        <v>109</v>
      </c>
      <c r="F36">
        <v>0</v>
      </c>
      <c r="G36">
        <v>0</v>
      </c>
      <c r="H36" t="s">
        <v>145</v>
      </c>
      <c r="I36" t="s">
        <v>104</v>
      </c>
    </row>
    <row r="37" spans="2:9" x14ac:dyDescent="0.25">
      <c r="B37" s="29" t="s">
        <v>120</v>
      </c>
      <c r="C37">
        <v>162</v>
      </c>
      <c r="D37" t="s">
        <v>147</v>
      </c>
      <c r="E37" t="s">
        <v>102</v>
      </c>
      <c r="F37" s="28">
        <v>41500</v>
      </c>
      <c r="G37" s="28">
        <v>41500</v>
      </c>
      <c r="H37" t="s">
        <v>103</v>
      </c>
      <c r="I37" t="s">
        <v>104</v>
      </c>
    </row>
    <row r="38" spans="2:9" x14ac:dyDescent="0.25">
      <c r="B38" s="29" t="s">
        <v>140</v>
      </c>
      <c r="C38">
        <v>154</v>
      </c>
      <c r="D38" t="s">
        <v>148</v>
      </c>
      <c r="E38" t="s">
        <v>102</v>
      </c>
      <c r="F38" s="28">
        <v>166500</v>
      </c>
      <c r="G38" s="28">
        <v>166500</v>
      </c>
      <c r="H38" t="s">
        <v>103</v>
      </c>
      <c r="I38" t="s">
        <v>104</v>
      </c>
    </row>
    <row r="39" spans="2:9" x14ac:dyDescent="0.25">
      <c r="B39" s="29" t="s">
        <v>124</v>
      </c>
      <c r="C39">
        <v>163</v>
      </c>
      <c r="D39" t="s">
        <v>149</v>
      </c>
      <c r="E39" t="s">
        <v>102</v>
      </c>
      <c r="F39" s="28">
        <v>64875</v>
      </c>
      <c r="G39" s="28">
        <v>64875</v>
      </c>
      <c r="H39" t="s">
        <v>103</v>
      </c>
      <c r="I39" t="s">
        <v>104</v>
      </c>
    </row>
    <row r="40" spans="2:9" x14ac:dyDescent="0.25">
      <c r="B40" s="29" t="s">
        <v>138</v>
      </c>
      <c r="C40">
        <v>166</v>
      </c>
      <c r="D40" t="s">
        <v>149</v>
      </c>
      <c r="E40" t="s">
        <v>102</v>
      </c>
      <c r="F40" s="28">
        <v>267295.25</v>
      </c>
      <c r="G40" s="28">
        <v>267295.25</v>
      </c>
      <c r="H40" t="s">
        <v>103</v>
      </c>
      <c r="I40" t="s">
        <v>104</v>
      </c>
    </row>
    <row r="41" spans="2:9" x14ac:dyDescent="0.25">
      <c r="B41" s="29" t="s">
        <v>105</v>
      </c>
      <c r="C41">
        <v>146</v>
      </c>
      <c r="D41" t="s">
        <v>150</v>
      </c>
      <c r="E41" t="s">
        <v>102</v>
      </c>
      <c r="F41" s="28">
        <v>66300</v>
      </c>
      <c r="G41" s="28">
        <v>66300</v>
      </c>
      <c r="H41" t="s">
        <v>103</v>
      </c>
      <c r="I41" t="s">
        <v>104</v>
      </c>
    </row>
    <row r="42" spans="2:9" x14ac:dyDescent="0.25">
      <c r="B42" s="29" t="s">
        <v>124</v>
      </c>
      <c r="C42">
        <v>164</v>
      </c>
      <c r="D42" t="s">
        <v>150</v>
      </c>
      <c r="E42" t="s">
        <v>102</v>
      </c>
      <c r="F42" s="28">
        <v>66300</v>
      </c>
      <c r="G42" s="28">
        <v>66300</v>
      </c>
      <c r="H42" t="s">
        <v>103</v>
      </c>
      <c r="I42" t="s">
        <v>104</v>
      </c>
    </row>
    <row r="43" spans="2:9" x14ac:dyDescent="0.25">
      <c r="B43" s="29" t="s">
        <v>116</v>
      </c>
      <c r="C43" t="s">
        <v>151</v>
      </c>
      <c r="D43" t="s">
        <v>152</v>
      </c>
      <c r="E43" t="s">
        <v>109</v>
      </c>
      <c r="F43">
        <v>0</v>
      </c>
      <c r="G43">
        <v>0</v>
      </c>
      <c r="H43" t="s">
        <v>145</v>
      </c>
      <c r="I43" t="s">
        <v>104</v>
      </c>
    </row>
    <row r="44" spans="2:9" x14ac:dyDescent="0.25">
      <c r="B44" s="29" t="s">
        <v>116</v>
      </c>
      <c r="C44" t="s">
        <v>153</v>
      </c>
      <c r="D44" t="s">
        <v>152</v>
      </c>
      <c r="E44" t="s">
        <v>109</v>
      </c>
      <c r="F44">
        <v>0</v>
      </c>
      <c r="G44">
        <v>0</v>
      </c>
      <c r="H44" t="s">
        <v>145</v>
      </c>
      <c r="I44" t="s">
        <v>104</v>
      </c>
    </row>
    <row r="45" spans="2:9" x14ac:dyDescent="0.25">
      <c r="B45" s="29" t="s">
        <v>154</v>
      </c>
      <c r="C45" t="s">
        <v>155</v>
      </c>
      <c r="D45" t="s">
        <v>152</v>
      </c>
      <c r="E45" t="s">
        <v>109</v>
      </c>
      <c r="F45">
        <v>0</v>
      </c>
      <c r="G45">
        <v>0</v>
      </c>
      <c r="H45" t="s">
        <v>145</v>
      </c>
      <c r="I45" t="s">
        <v>104</v>
      </c>
    </row>
    <row r="46" spans="2:9" x14ac:dyDescent="0.25">
      <c r="B46" s="29" t="s">
        <v>105</v>
      </c>
      <c r="C46" t="s">
        <v>156</v>
      </c>
      <c r="D46" t="s">
        <v>152</v>
      </c>
      <c r="E46" t="s">
        <v>109</v>
      </c>
      <c r="F46">
        <v>0</v>
      </c>
      <c r="G46">
        <v>0</v>
      </c>
      <c r="H46" t="s">
        <v>145</v>
      </c>
      <c r="I46" t="s">
        <v>104</v>
      </c>
    </row>
    <row r="47" spans="2:9" x14ac:dyDescent="0.25">
      <c r="F47" s="28">
        <f>SUM(F15:F46)</f>
        <v>5129305.2699999996</v>
      </c>
    </row>
    <row r="48" spans="2:9" x14ac:dyDescent="0.25">
      <c r="F48">
        <v>-23000</v>
      </c>
    </row>
    <row r="49" spans="2:9" x14ac:dyDescent="0.25">
      <c r="F49" s="28">
        <f>SUM(F47:F48)</f>
        <v>5106305.2699999996</v>
      </c>
    </row>
    <row r="52" spans="2:9" x14ac:dyDescent="0.25">
      <c r="B52" s="29" t="s">
        <v>92</v>
      </c>
      <c r="C52" t="s">
        <v>93</v>
      </c>
      <c r="D52" t="s">
        <v>94</v>
      </c>
      <c r="E52" t="s">
        <v>95</v>
      </c>
      <c r="F52" t="s">
        <v>96</v>
      </c>
      <c r="G52" t="s">
        <v>97</v>
      </c>
      <c r="H52" t="s">
        <v>98</v>
      </c>
      <c r="I52" t="s">
        <v>99</v>
      </c>
    </row>
    <row r="53" spans="2:9" x14ac:dyDescent="0.25">
      <c r="B53" s="30">
        <v>45017</v>
      </c>
      <c r="C53">
        <v>171</v>
      </c>
      <c r="D53" t="s">
        <v>106</v>
      </c>
      <c r="E53" t="s">
        <v>102</v>
      </c>
      <c r="F53" s="28">
        <v>165200</v>
      </c>
      <c r="G53" s="28">
        <v>165200</v>
      </c>
      <c r="H53" t="s">
        <v>103</v>
      </c>
      <c r="I53" t="s">
        <v>104</v>
      </c>
    </row>
    <row r="54" spans="2:9" x14ac:dyDescent="0.25">
      <c r="B54" s="29" t="s">
        <v>157</v>
      </c>
      <c r="C54">
        <v>179</v>
      </c>
      <c r="D54" t="s">
        <v>106</v>
      </c>
      <c r="E54" t="s">
        <v>102</v>
      </c>
      <c r="F54" s="28">
        <v>130200</v>
      </c>
      <c r="G54" s="28">
        <v>130200</v>
      </c>
      <c r="H54" t="s">
        <v>103</v>
      </c>
      <c r="I54" t="s">
        <v>104</v>
      </c>
    </row>
    <row r="55" spans="2:9" x14ac:dyDescent="0.25">
      <c r="B55" s="30">
        <v>44986</v>
      </c>
      <c r="C55" t="s">
        <v>158</v>
      </c>
      <c r="D55" t="s">
        <v>108</v>
      </c>
      <c r="E55" t="s">
        <v>109</v>
      </c>
      <c r="F55" s="28"/>
      <c r="G55">
        <v>0</v>
      </c>
      <c r="H55" t="s">
        <v>110</v>
      </c>
      <c r="I55" t="s">
        <v>104</v>
      </c>
    </row>
    <row r="56" spans="2:9" x14ac:dyDescent="0.25">
      <c r="B56" s="30">
        <v>45200</v>
      </c>
      <c r="C56" t="s">
        <v>159</v>
      </c>
      <c r="D56" t="s">
        <v>108</v>
      </c>
      <c r="E56" t="s">
        <v>109</v>
      </c>
      <c r="F56" s="28"/>
      <c r="G56">
        <v>0</v>
      </c>
      <c r="H56" t="s">
        <v>110</v>
      </c>
      <c r="I56" t="s">
        <v>104</v>
      </c>
    </row>
    <row r="57" spans="2:9" x14ac:dyDescent="0.25">
      <c r="B57" s="30">
        <v>45200</v>
      </c>
      <c r="C57" t="s">
        <v>160</v>
      </c>
      <c r="D57" t="s">
        <v>108</v>
      </c>
      <c r="E57" t="s">
        <v>109</v>
      </c>
      <c r="F57" s="28"/>
      <c r="G57">
        <v>0</v>
      </c>
      <c r="H57" t="s">
        <v>110</v>
      </c>
      <c r="I57" t="s">
        <v>104</v>
      </c>
    </row>
    <row r="58" spans="2:9" x14ac:dyDescent="0.25">
      <c r="B58" s="29" t="s">
        <v>161</v>
      </c>
      <c r="C58" t="s">
        <v>162</v>
      </c>
      <c r="D58" t="s">
        <v>108</v>
      </c>
      <c r="E58" t="s">
        <v>109</v>
      </c>
      <c r="F58" s="28"/>
      <c r="G58">
        <v>0</v>
      </c>
      <c r="H58" t="s">
        <v>110</v>
      </c>
      <c r="I58" t="s">
        <v>104</v>
      </c>
    </row>
    <row r="59" spans="2:9" x14ac:dyDescent="0.25">
      <c r="B59" s="29" t="s">
        <v>161</v>
      </c>
      <c r="C59" t="s">
        <v>163</v>
      </c>
      <c r="D59" t="s">
        <v>108</v>
      </c>
      <c r="E59" t="s">
        <v>109</v>
      </c>
      <c r="F59" s="28"/>
      <c r="G59">
        <v>0</v>
      </c>
      <c r="H59" t="s">
        <v>110</v>
      </c>
      <c r="I59" t="s">
        <v>104</v>
      </c>
    </row>
    <row r="60" spans="2:9" x14ac:dyDescent="0.25">
      <c r="B60" s="29" t="s">
        <v>164</v>
      </c>
      <c r="C60" t="s">
        <v>165</v>
      </c>
      <c r="D60" t="s">
        <v>108</v>
      </c>
      <c r="E60" t="s">
        <v>109</v>
      </c>
      <c r="F60" s="28"/>
      <c r="G60">
        <v>0</v>
      </c>
      <c r="H60" t="s">
        <v>110</v>
      </c>
      <c r="I60" t="s">
        <v>104</v>
      </c>
    </row>
    <row r="61" spans="2:9" x14ac:dyDescent="0.25">
      <c r="B61" s="29" t="s">
        <v>166</v>
      </c>
      <c r="C61" t="s">
        <v>167</v>
      </c>
      <c r="D61" t="s">
        <v>108</v>
      </c>
      <c r="E61" t="s">
        <v>109</v>
      </c>
      <c r="F61" s="28"/>
      <c r="G61">
        <v>0</v>
      </c>
      <c r="H61" t="s">
        <v>110</v>
      </c>
      <c r="I61" t="s">
        <v>104</v>
      </c>
    </row>
    <row r="62" spans="2:9" x14ac:dyDescent="0.25">
      <c r="B62" s="29" t="s">
        <v>168</v>
      </c>
      <c r="C62" t="s">
        <v>169</v>
      </c>
      <c r="D62" t="s">
        <v>108</v>
      </c>
      <c r="E62" t="s">
        <v>109</v>
      </c>
      <c r="F62" s="28"/>
      <c r="G62">
        <v>0</v>
      </c>
      <c r="H62" t="s">
        <v>110</v>
      </c>
      <c r="I62" t="s">
        <v>104</v>
      </c>
    </row>
    <row r="63" spans="2:9" x14ac:dyDescent="0.25">
      <c r="B63" s="29" t="s">
        <v>168</v>
      </c>
      <c r="C63" t="s">
        <v>170</v>
      </c>
      <c r="D63" t="s">
        <v>108</v>
      </c>
      <c r="E63" t="s">
        <v>109</v>
      </c>
      <c r="F63" s="28"/>
      <c r="G63">
        <v>0</v>
      </c>
      <c r="H63" t="s">
        <v>110</v>
      </c>
      <c r="I63" t="s">
        <v>104</v>
      </c>
    </row>
    <row r="64" spans="2:9" x14ac:dyDescent="0.25">
      <c r="B64" s="29" t="s">
        <v>171</v>
      </c>
      <c r="C64" t="s">
        <v>172</v>
      </c>
      <c r="D64" t="s">
        <v>108</v>
      </c>
      <c r="E64" t="s">
        <v>109</v>
      </c>
      <c r="F64" s="28"/>
      <c r="G64">
        <v>0</v>
      </c>
      <c r="H64" t="s">
        <v>110</v>
      </c>
      <c r="I64" t="s">
        <v>104</v>
      </c>
    </row>
    <row r="65" spans="2:9" x14ac:dyDescent="0.25">
      <c r="B65" s="30">
        <v>45047</v>
      </c>
      <c r="C65">
        <v>172</v>
      </c>
      <c r="D65" t="s">
        <v>173</v>
      </c>
      <c r="E65" t="s">
        <v>102</v>
      </c>
      <c r="F65" s="28">
        <v>21000</v>
      </c>
      <c r="G65" s="28">
        <v>21000</v>
      </c>
      <c r="H65" t="s">
        <v>103</v>
      </c>
      <c r="I65" t="s">
        <v>104</v>
      </c>
    </row>
    <row r="66" spans="2:9" x14ac:dyDescent="0.25">
      <c r="B66" s="29" t="s">
        <v>174</v>
      </c>
      <c r="C66">
        <v>178</v>
      </c>
      <c r="D66" t="s">
        <v>173</v>
      </c>
      <c r="E66" t="s">
        <v>102</v>
      </c>
      <c r="F66" s="28">
        <v>80250</v>
      </c>
      <c r="G66" s="28">
        <v>80250</v>
      </c>
      <c r="H66" t="s">
        <v>103</v>
      </c>
      <c r="I66" t="s">
        <v>104</v>
      </c>
    </row>
    <row r="67" spans="2:9" x14ac:dyDescent="0.25">
      <c r="B67" s="29" t="s">
        <v>175</v>
      </c>
      <c r="C67">
        <v>174</v>
      </c>
      <c r="D67" t="s">
        <v>176</v>
      </c>
      <c r="E67" t="s">
        <v>102</v>
      </c>
      <c r="F67" s="28">
        <v>190350</v>
      </c>
      <c r="G67" s="28">
        <v>190350</v>
      </c>
      <c r="H67" t="s">
        <v>103</v>
      </c>
      <c r="I67" t="s">
        <v>104</v>
      </c>
    </row>
    <row r="68" spans="2:9" x14ac:dyDescent="0.25">
      <c r="B68" s="29" t="s">
        <v>157</v>
      </c>
      <c r="C68">
        <v>180</v>
      </c>
      <c r="D68" t="s">
        <v>176</v>
      </c>
      <c r="E68" t="s">
        <v>102</v>
      </c>
      <c r="F68" s="28">
        <v>102500</v>
      </c>
      <c r="G68" s="28">
        <v>102500</v>
      </c>
      <c r="H68" t="s">
        <v>103</v>
      </c>
      <c r="I68" t="s">
        <v>104</v>
      </c>
    </row>
    <row r="69" spans="2:9" x14ac:dyDescent="0.25">
      <c r="B69" s="30">
        <v>44986</v>
      </c>
      <c r="C69">
        <v>168</v>
      </c>
      <c r="D69" t="s">
        <v>129</v>
      </c>
      <c r="E69" t="s">
        <v>130</v>
      </c>
      <c r="F69" s="28">
        <v>255362.44</v>
      </c>
      <c r="G69" s="28">
        <v>255362.44</v>
      </c>
      <c r="H69" t="s">
        <v>103</v>
      </c>
      <c r="I69" t="s">
        <v>104</v>
      </c>
    </row>
    <row r="70" spans="2:9" x14ac:dyDescent="0.25">
      <c r="B70" s="30">
        <v>44986</v>
      </c>
      <c r="C70">
        <v>170</v>
      </c>
      <c r="D70" t="s">
        <v>129</v>
      </c>
      <c r="E70" t="s">
        <v>130</v>
      </c>
      <c r="F70" s="28">
        <v>204367.1</v>
      </c>
      <c r="G70" s="28">
        <v>204367.1</v>
      </c>
      <c r="H70" t="s">
        <v>103</v>
      </c>
      <c r="I70" t="s">
        <v>104</v>
      </c>
    </row>
    <row r="71" spans="2:9" x14ac:dyDescent="0.25">
      <c r="B71" s="30">
        <v>45108</v>
      </c>
      <c r="C71">
        <v>173</v>
      </c>
      <c r="D71" t="s">
        <v>133</v>
      </c>
      <c r="E71" t="s">
        <v>102</v>
      </c>
      <c r="F71" s="28">
        <v>553000</v>
      </c>
      <c r="G71" s="28">
        <v>553000</v>
      </c>
      <c r="H71" t="s">
        <v>103</v>
      </c>
      <c r="I71" t="s">
        <v>104</v>
      </c>
    </row>
    <row r="72" spans="2:9" x14ac:dyDescent="0.25">
      <c r="B72" s="29" t="s">
        <v>171</v>
      </c>
      <c r="C72">
        <v>183</v>
      </c>
      <c r="D72" t="s">
        <v>133</v>
      </c>
      <c r="E72" t="s">
        <v>102</v>
      </c>
      <c r="F72" s="28">
        <v>44000</v>
      </c>
      <c r="G72" s="28">
        <v>44000</v>
      </c>
      <c r="H72" t="s">
        <v>103</v>
      </c>
      <c r="I72" t="s">
        <v>104</v>
      </c>
    </row>
    <row r="73" spans="2:9" x14ac:dyDescent="0.25">
      <c r="B73" s="29" t="s">
        <v>177</v>
      </c>
      <c r="C73">
        <v>177</v>
      </c>
      <c r="D73" t="s">
        <v>178</v>
      </c>
      <c r="E73" t="s">
        <v>102</v>
      </c>
      <c r="F73" s="28">
        <v>16500</v>
      </c>
      <c r="G73" s="28">
        <v>16500</v>
      </c>
      <c r="H73" t="s">
        <v>103</v>
      </c>
      <c r="I73" t="s">
        <v>104</v>
      </c>
    </row>
    <row r="74" spans="2:9" x14ac:dyDescent="0.25">
      <c r="B74" s="29" t="s">
        <v>171</v>
      </c>
      <c r="C74">
        <v>182</v>
      </c>
      <c r="D74" t="s">
        <v>136</v>
      </c>
      <c r="E74" t="s">
        <v>102</v>
      </c>
      <c r="F74" s="28">
        <v>104850</v>
      </c>
      <c r="G74" s="28">
        <v>104850</v>
      </c>
      <c r="H74" t="s">
        <v>103</v>
      </c>
      <c r="I74" t="s">
        <v>104</v>
      </c>
    </row>
    <row r="75" spans="2:9" x14ac:dyDescent="0.25">
      <c r="B75" s="29" t="s">
        <v>179</v>
      </c>
      <c r="C75">
        <v>185</v>
      </c>
      <c r="D75" t="s">
        <v>136</v>
      </c>
      <c r="E75" t="s">
        <v>102</v>
      </c>
      <c r="F75" s="28">
        <v>95000</v>
      </c>
      <c r="G75" s="28">
        <v>95000</v>
      </c>
      <c r="H75" t="s">
        <v>103</v>
      </c>
      <c r="I75" t="s">
        <v>104</v>
      </c>
    </row>
    <row r="76" spans="2:9" x14ac:dyDescent="0.25">
      <c r="B76" s="30">
        <v>44986</v>
      </c>
      <c r="C76">
        <v>169</v>
      </c>
      <c r="D76" t="s">
        <v>139</v>
      </c>
      <c r="E76" t="s">
        <v>102</v>
      </c>
      <c r="F76" s="28">
        <v>130000</v>
      </c>
      <c r="G76" s="28">
        <v>130000</v>
      </c>
      <c r="H76" t="s">
        <v>103</v>
      </c>
      <c r="I76" t="s">
        <v>104</v>
      </c>
    </row>
    <row r="77" spans="2:9" x14ac:dyDescent="0.25">
      <c r="B77" s="29" t="s">
        <v>161</v>
      </c>
      <c r="C77">
        <v>175</v>
      </c>
      <c r="D77" t="s">
        <v>139</v>
      </c>
      <c r="E77" t="s">
        <v>102</v>
      </c>
      <c r="F77" s="28">
        <v>130000</v>
      </c>
      <c r="G77" s="28">
        <v>130000</v>
      </c>
      <c r="H77" t="s">
        <v>103</v>
      </c>
      <c r="I77" t="s">
        <v>104</v>
      </c>
    </row>
    <row r="78" spans="2:9" x14ac:dyDescent="0.25">
      <c r="B78" s="29" t="s">
        <v>164</v>
      </c>
      <c r="C78">
        <v>176</v>
      </c>
      <c r="D78" t="s">
        <v>139</v>
      </c>
      <c r="E78" t="s">
        <v>102</v>
      </c>
      <c r="F78" s="28">
        <v>130000</v>
      </c>
      <c r="G78" s="28">
        <v>130000</v>
      </c>
      <c r="H78" t="s">
        <v>103</v>
      </c>
      <c r="I78" t="s">
        <v>104</v>
      </c>
    </row>
    <row r="79" spans="2:9" x14ac:dyDescent="0.25">
      <c r="B79" s="29" t="s">
        <v>171</v>
      </c>
      <c r="C79">
        <v>181</v>
      </c>
      <c r="D79" t="s">
        <v>141</v>
      </c>
      <c r="E79" t="s">
        <v>102</v>
      </c>
      <c r="F79" s="28">
        <v>115000</v>
      </c>
      <c r="G79" s="28">
        <v>115000</v>
      </c>
      <c r="H79" t="s">
        <v>103</v>
      </c>
      <c r="I79" t="s">
        <v>104</v>
      </c>
    </row>
    <row r="80" spans="2:9" x14ac:dyDescent="0.25">
      <c r="B80" s="30">
        <v>45200</v>
      </c>
      <c r="C80" t="s">
        <v>180</v>
      </c>
      <c r="D80" t="s">
        <v>144</v>
      </c>
      <c r="E80" t="s">
        <v>109</v>
      </c>
      <c r="F80">
        <v>0</v>
      </c>
      <c r="G80">
        <v>0</v>
      </c>
      <c r="H80" t="s">
        <v>145</v>
      </c>
      <c r="I80" t="s">
        <v>104</v>
      </c>
    </row>
    <row r="81" spans="2:9" x14ac:dyDescent="0.25">
      <c r="B81" s="30">
        <v>45200</v>
      </c>
      <c r="C81" t="s">
        <v>181</v>
      </c>
      <c r="D81" t="s">
        <v>144</v>
      </c>
      <c r="E81" t="s">
        <v>109</v>
      </c>
      <c r="F81">
        <v>0</v>
      </c>
      <c r="G81">
        <v>0</v>
      </c>
      <c r="H81" t="s">
        <v>145</v>
      </c>
      <c r="I81" t="s">
        <v>104</v>
      </c>
    </row>
    <row r="82" spans="2:9" x14ac:dyDescent="0.25">
      <c r="B82" s="29" t="s">
        <v>171</v>
      </c>
      <c r="C82">
        <v>184</v>
      </c>
      <c r="D82" t="s">
        <v>148</v>
      </c>
      <c r="E82" t="s">
        <v>102</v>
      </c>
      <c r="F82" s="28">
        <v>75000</v>
      </c>
      <c r="G82">
        <v>0</v>
      </c>
      <c r="H82" t="s">
        <v>110</v>
      </c>
      <c r="I82" t="s">
        <v>104</v>
      </c>
    </row>
    <row r="83" spans="2:9" x14ac:dyDescent="0.25">
      <c r="F83" s="28">
        <f>SUM(F53:F82)</f>
        <v>2542579.54</v>
      </c>
      <c r="G83" s="28">
        <v>75000</v>
      </c>
      <c r="H83" t="s">
        <v>103</v>
      </c>
      <c r="I83" t="s">
        <v>104</v>
      </c>
    </row>
    <row r="84" spans="2:9" x14ac:dyDescent="0.25">
      <c r="F84" s="28">
        <v>17660</v>
      </c>
      <c r="G84">
        <v>0</v>
      </c>
      <c r="H84" t="s">
        <v>110</v>
      </c>
      <c r="I84" t="s">
        <v>104</v>
      </c>
    </row>
    <row r="85" spans="2:9" x14ac:dyDescent="0.25">
      <c r="F85" s="28">
        <f>F83-F84</f>
        <v>2524919.54</v>
      </c>
    </row>
    <row r="86" spans="2:9" x14ac:dyDescent="0.25">
      <c r="F86" s="28"/>
    </row>
    <row r="87" spans="2:9" x14ac:dyDescent="0.25">
      <c r="B87" s="29" t="s">
        <v>175</v>
      </c>
      <c r="C87" t="s">
        <v>183</v>
      </c>
      <c r="D87" t="s">
        <v>152</v>
      </c>
      <c r="E87" t="s">
        <v>109</v>
      </c>
      <c r="F87" s="28">
        <v>36287600</v>
      </c>
    </row>
    <row r="88" spans="2:9" x14ac:dyDescent="0.25">
      <c r="B88" s="30">
        <v>45200</v>
      </c>
      <c r="C88" t="s">
        <v>182</v>
      </c>
      <c r="D88" t="s">
        <v>144</v>
      </c>
      <c r="E88" t="s">
        <v>109</v>
      </c>
      <c r="F88" s="28">
        <v>57923471.020000003</v>
      </c>
    </row>
    <row r="89" spans="2:9" x14ac:dyDescent="0.25">
      <c r="F89" s="28">
        <f>SUM(F87:F88)</f>
        <v>94211071.020000011</v>
      </c>
    </row>
    <row r="92" spans="2:9" x14ac:dyDescent="0.25">
      <c r="B92" s="29" t="s">
        <v>92</v>
      </c>
      <c r="C92" t="s">
        <v>93</v>
      </c>
      <c r="D92" t="s">
        <v>94</v>
      </c>
      <c r="E92" t="s">
        <v>95</v>
      </c>
      <c r="F92" t="s">
        <v>96</v>
      </c>
      <c r="G92" t="s">
        <v>97</v>
      </c>
      <c r="H92" t="s">
        <v>98</v>
      </c>
      <c r="I92" t="s">
        <v>99</v>
      </c>
    </row>
    <row r="93" spans="2:9" x14ac:dyDescent="0.25">
      <c r="B93" s="29" t="s">
        <v>184</v>
      </c>
      <c r="C93">
        <v>204</v>
      </c>
      <c r="D93" t="s">
        <v>106</v>
      </c>
      <c r="E93" t="s">
        <v>102</v>
      </c>
      <c r="F93" s="28">
        <v>194400</v>
      </c>
      <c r="G93">
        <v>0</v>
      </c>
      <c r="H93" t="s">
        <v>110</v>
      </c>
      <c r="I93" t="s">
        <v>104</v>
      </c>
    </row>
    <row r="94" spans="2:9" x14ac:dyDescent="0.25">
      <c r="B94" s="29" t="s">
        <v>185</v>
      </c>
      <c r="C94" t="s">
        <v>186</v>
      </c>
      <c r="D94" t="s">
        <v>108</v>
      </c>
      <c r="E94" t="s">
        <v>109</v>
      </c>
      <c r="F94" s="28"/>
      <c r="G94">
        <v>0</v>
      </c>
      <c r="H94" t="s">
        <v>110</v>
      </c>
      <c r="I94" t="s">
        <v>104</v>
      </c>
    </row>
    <row r="95" spans="2:9" x14ac:dyDescent="0.25">
      <c r="B95" s="29" t="s">
        <v>185</v>
      </c>
      <c r="C95" t="s">
        <v>187</v>
      </c>
      <c r="D95" t="s">
        <v>108</v>
      </c>
      <c r="E95" t="s">
        <v>109</v>
      </c>
      <c r="F95" s="28"/>
      <c r="G95">
        <v>0</v>
      </c>
      <c r="H95" t="s">
        <v>110</v>
      </c>
      <c r="I95" t="s">
        <v>104</v>
      </c>
    </row>
    <row r="96" spans="2:9" x14ac:dyDescent="0.25">
      <c r="B96" s="29" t="s">
        <v>188</v>
      </c>
      <c r="C96" t="s">
        <v>189</v>
      </c>
      <c r="D96" t="s">
        <v>108</v>
      </c>
      <c r="E96" t="s">
        <v>109</v>
      </c>
      <c r="F96" s="28"/>
      <c r="G96">
        <v>0</v>
      </c>
      <c r="H96" t="s">
        <v>110</v>
      </c>
      <c r="I96" t="s">
        <v>104</v>
      </c>
    </row>
    <row r="97" spans="2:9" x14ac:dyDescent="0.25">
      <c r="B97" s="29" t="s">
        <v>190</v>
      </c>
      <c r="C97" t="s">
        <v>191</v>
      </c>
      <c r="D97" t="s">
        <v>108</v>
      </c>
      <c r="E97" t="s">
        <v>109</v>
      </c>
      <c r="F97" s="28"/>
      <c r="G97">
        <v>0</v>
      </c>
      <c r="H97" t="s">
        <v>110</v>
      </c>
      <c r="I97" t="s">
        <v>104</v>
      </c>
    </row>
    <row r="98" spans="2:9" x14ac:dyDescent="0.25">
      <c r="B98" s="29" t="s">
        <v>192</v>
      </c>
      <c r="C98" t="s">
        <v>193</v>
      </c>
      <c r="D98" t="s">
        <v>108</v>
      </c>
      <c r="E98" t="s">
        <v>109</v>
      </c>
      <c r="F98" s="28"/>
      <c r="G98">
        <v>0</v>
      </c>
      <c r="H98" t="s">
        <v>110</v>
      </c>
      <c r="I98" t="s">
        <v>104</v>
      </c>
    </row>
    <row r="99" spans="2:9" x14ac:dyDescent="0.25">
      <c r="B99" s="29" t="s">
        <v>192</v>
      </c>
      <c r="C99" t="s">
        <v>194</v>
      </c>
      <c r="D99" t="s">
        <v>108</v>
      </c>
      <c r="E99" t="s">
        <v>109</v>
      </c>
      <c r="F99" s="28"/>
      <c r="G99">
        <v>0</v>
      </c>
      <c r="H99" t="s">
        <v>110</v>
      </c>
      <c r="I99" t="s">
        <v>104</v>
      </c>
    </row>
    <row r="100" spans="2:9" x14ac:dyDescent="0.25">
      <c r="B100" s="29" t="s">
        <v>192</v>
      </c>
      <c r="C100" t="s">
        <v>195</v>
      </c>
      <c r="D100" t="s">
        <v>108</v>
      </c>
      <c r="E100" t="s">
        <v>109</v>
      </c>
      <c r="F100" s="28"/>
      <c r="G100">
        <v>0</v>
      </c>
      <c r="H100" t="s">
        <v>110</v>
      </c>
      <c r="I100" t="s">
        <v>104</v>
      </c>
    </row>
    <row r="101" spans="2:9" x14ac:dyDescent="0.25">
      <c r="B101" s="29" t="s">
        <v>192</v>
      </c>
      <c r="C101" t="s">
        <v>196</v>
      </c>
      <c r="D101" t="s">
        <v>108</v>
      </c>
      <c r="E101" t="s">
        <v>109</v>
      </c>
      <c r="F101" s="28"/>
      <c r="G101">
        <v>0</v>
      </c>
      <c r="H101" t="s">
        <v>110</v>
      </c>
      <c r="I101" t="s">
        <v>104</v>
      </c>
    </row>
    <row r="102" spans="2:9" x14ac:dyDescent="0.25">
      <c r="B102" s="29" t="s">
        <v>197</v>
      </c>
      <c r="C102" t="s">
        <v>198</v>
      </c>
      <c r="D102" t="s">
        <v>108</v>
      </c>
      <c r="E102" t="s">
        <v>109</v>
      </c>
      <c r="F102" s="28"/>
      <c r="G102">
        <v>0</v>
      </c>
      <c r="H102" t="s">
        <v>110</v>
      </c>
      <c r="I102" t="s">
        <v>104</v>
      </c>
    </row>
    <row r="103" spans="2:9" x14ac:dyDescent="0.25">
      <c r="B103" s="29" t="s">
        <v>184</v>
      </c>
      <c r="C103">
        <v>203</v>
      </c>
      <c r="D103" t="s">
        <v>173</v>
      </c>
      <c r="E103" t="s">
        <v>102</v>
      </c>
      <c r="F103" s="28">
        <v>121200</v>
      </c>
      <c r="G103">
        <v>0</v>
      </c>
      <c r="H103" t="s">
        <v>110</v>
      </c>
      <c r="I103" t="s">
        <v>104</v>
      </c>
    </row>
    <row r="104" spans="2:9" x14ac:dyDescent="0.25">
      <c r="B104" s="30">
        <v>44928</v>
      </c>
      <c r="C104">
        <v>187</v>
      </c>
      <c r="D104" t="s">
        <v>199</v>
      </c>
      <c r="E104" t="s">
        <v>102</v>
      </c>
      <c r="F104" s="28">
        <v>77605</v>
      </c>
      <c r="G104">
        <v>0</v>
      </c>
      <c r="H104" t="s">
        <v>110</v>
      </c>
      <c r="I104" t="s">
        <v>104</v>
      </c>
    </row>
    <row r="105" spans="2:9" x14ac:dyDescent="0.25">
      <c r="B105" s="30">
        <v>44928</v>
      </c>
      <c r="C105">
        <v>188</v>
      </c>
      <c r="D105" t="s">
        <v>199</v>
      </c>
      <c r="E105" t="s">
        <v>102</v>
      </c>
      <c r="F105" s="28">
        <v>315817.5</v>
      </c>
      <c r="G105">
        <v>0</v>
      </c>
      <c r="H105" t="s">
        <v>110</v>
      </c>
      <c r="I105" t="s">
        <v>104</v>
      </c>
    </row>
    <row r="106" spans="2:9" x14ac:dyDescent="0.25">
      <c r="B106" s="29" t="s">
        <v>185</v>
      </c>
      <c r="C106">
        <v>193</v>
      </c>
      <c r="D106" t="s">
        <v>199</v>
      </c>
      <c r="E106" t="s">
        <v>102</v>
      </c>
      <c r="F106" s="28">
        <v>31875</v>
      </c>
      <c r="G106">
        <v>0</v>
      </c>
      <c r="H106" t="s">
        <v>110</v>
      </c>
      <c r="I106" t="s">
        <v>104</v>
      </c>
    </row>
    <row r="107" spans="2:9" x14ac:dyDescent="0.25">
      <c r="B107" s="29" t="s">
        <v>185</v>
      </c>
      <c r="C107">
        <v>194</v>
      </c>
      <c r="D107" t="s">
        <v>199</v>
      </c>
      <c r="E107" t="s">
        <v>102</v>
      </c>
      <c r="F107" s="28">
        <v>187935</v>
      </c>
      <c r="G107">
        <v>0</v>
      </c>
      <c r="H107" t="s">
        <v>110</v>
      </c>
      <c r="I107" t="s">
        <v>104</v>
      </c>
    </row>
    <row r="108" spans="2:9" x14ac:dyDescent="0.25">
      <c r="B108" s="29" t="s">
        <v>184</v>
      </c>
      <c r="C108">
        <v>202</v>
      </c>
      <c r="D108" t="s">
        <v>199</v>
      </c>
      <c r="E108" t="s">
        <v>102</v>
      </c>
      <c r="F108" s="28">
        <v>74375</v>
      </c>
      <c r="G108">
        <v>0</v>
      </c>
      <c r="H108" t="s">
        <v>110</v>
      </c>
      <c r="I108" t="s">
        <v>104</v>
      </c>
    </row>
    <row r="109" spans="2:9" x14ac:dyDescent="0.25">
      <c r="B109" s="29" t="s">
        <v>197</v>
      </c>
      <c r="C109">
        <v>200</v>
      </c>
      <c r="D109" t="s">
        <v>133</v>
      </c>
      <c r="E109" t="s">
        <v>102</v>
      </c>
      <c r="F109" s="28">
        <v>195000</v>
      </c>
      <c r="G109">
        <v>0</v>
      </c>
      <c r="H109" t="s">
        <v>110</v>
      </c>
      <c r="I109" t="s">
        <v>104</v>
      </c>
    </row>
    <row r="110" spans="2:9" x14ac:dyDescent="0.25">
      <c r="B110" s="30">
        <v>44987</v>
      </c>
      <c r="C110">
        <v>189</v>
      </c>
      <c r="D110" t="s">
        <v>200</v>
      </c>
      <c r="E110" t="s">
        <v>102</v>
      </c>
      <c r="F110" s="28">
        <v>111375</v>
      </c>
      <c r="G110" s="28">
        <v>11160</v>
      </c>
      <c r="H110" t="s">
        <v>135</v>
      </c>
      <c r="I110" t="s">
        <v>104</v>
      </c>
    </row>
    <row r="111" spans="2:9" x14ac:dyDescent="0.25">
      <c r="G111">
        <v>0</v>
      </c>
      <c r="H111" t="s">
        <v>110</v>
      </c>
      <c r="I111" t="s">
        <v>104</v>
      </c>
    </row>
    <row r="112" spans="2:9" x14ac:dyDescent="0.25">
      <c r="B112" s="29" t="s">
        <v>192</v>
      </c>
      <c r="C112">
        <v>198</v>
      </c>
      <c r="D112" t="s">
        <v>141</v>
      </c>
      <c r="E112" t="s">
        <v>102</v>
      </c>
      <c r="F112" s="28">
        <v>1054000</v>
      </c>
      <c r="G112" s="28">
        <v>1054000</v>
      </c>
      <c r="H112" t="s">
        <v>103</v>
      </c>
      <c r="I112" t="s">
        <v>104</v>
      </c>
    </row>
    <row r="113" spans="2:13" x14ac:dyDescent="0.25">
      <c r="B113" s="29" t="s">
        <v>192</v>
      </c>
      <c r="C113">
        <v>199</v>
      </c>
      <c r="D113" t="s">
        <v>141</v>
      </c>
      <c r="E113" t="s">
        <v>102</v>
      </c>
      <c r="F113" s="28">
        <v>11250</v>
      </c>
      <c r="G113" s="28">
        <v>11250</v>
      </c>
      <c r="H113" t="s">
        <v>103</v>
      </c>
      <c r="I113" t="s">
        <v>104</v>
      </c>
    </row>
    <row r="114" spans="2:13" x14ac:dyDescent="0.25">
      <c r="B114" s="29" t="s">
        <v>185</v>
      </c>
      <c r="C114">
        <v>190</v>
      </c>
      <c r="D114" t="s">
        <v>204</v>
      </c>
      <c r="E114" t="s">
        <v>102</v>
      </c>
      <c r="F114" s="28">
        <v>55000</v>
      </c>
      <c r="G114" s="28">
        <v>55000</v>
      </c>
      <c r="H114" t="s">
        <v>103</v>
      </c>
      <c r="I114" t="s">
        <v>104</v>
      </c>
    </row>
    <row r="115" spans="2:13" x14ac:dyDescent="0.25">
      <c r="B115" s="29" t="s">
        <v>185</v>
      </c>
      <c r="C115">
        <v>191</v>
      </c>
      <c r="D115" t="s">
        <v>204</v>
      </c>
      <c r="E115" t="s">
        <v>102</v>
      </c>
      <c r="F115" s="28">
        <v>41000</v>
      </c>
      <c r="G115" s="28">
        <v>41000</v>
      </c>
      <c r="H115" t="s">
        <v>103</v>
      </c>
      <c r="I115" t="s">
        <v>104</v>
      </c>
    </row>
    <row r="116" spans="2:13" x14ac:dyDescent="0.25">
      <c r="B116" s="29" t="s">
        <v>185</v>
      </c>
      <c r="C116">
        <v>192</v>
      </c>
      <c r="D116" t="s">
        <v>204</v>
      </c>
      <c r="E116" t="s">
        <v>102</v>
      </c>
      <c r="F116" s="28">
        <v>232200</v>
      </c>
      <c r="G116" s="28">
        <v>232200</v>
      </c>
      <c r="H116" t="s">
        <v>103</v>
      </c>
      <c r="I116" t="s">
        <v>104</v>
      </c>
    </row>
    <row r="117" spans="2:13" x14ac:dyDescent="0.25">
      <c r="B117" s="29" t="s">
        <v>188</v>
      </c>
      <c r="C117">
        <v>195</v>
      </c>
      <c r="D117" t="s">
        <v>204</v>
      </c>
      <c r="E117" t="s">
        <v>102</v>
      </c>
      <c r="F117" s="28">
        <v>440000</v>
      </c>
      <c r="G117" s="28">
        <v>440000</v>
      </c>
      <c r="H117" t="s">
        <v>103</v>
      </c>
      <c r="I117" t="s">
        <v>104</v>
      </c>
    </row>
    <row r="118" spans="2:13" x14ac:dyDescent="0.25">
      <c r="B118" s="29" t="s">
        <v>188</v>
      </c>
      <c r="C118">
        <v>196</v>
      </c>
      <c r="D118" t="s">
        <v>204</v>
      </c>
      <c r="E118" t="s">
        <v>102</v>
      </c>
      <c r="F118">
        <v>0</v>
      </c>
      <c r="G118">
        <v>0</v>
      </c>
      <c r="H118" t="s">
        <v>145</v>
      </c>
      <c r="I118" t="s">
        <v>104</v>
      </c>
    </row>
    <row r="119" spans="2:13" x14ac:dyDescent="0.25">
      <c r="B119" s="30">
        <v>44928</v>
      </c>
      <c r="C119">
        <v>186</v>
      </c>
      <c r="D119" t="s">
        <v>148</v>
      </c>
      <c r="E119" t="s">
        <v>102</v>
      </c>
      <c r="F119" s="28">
        <v>216000</v>
      </c>
      <c r="G119">
        <v>0</v>
      </c>
      <c r="H119" t="s">
        <v>110</v>
      </c>
      <c r="I119" t="s">
        <v>104</v>
      </c>
    </row>
    <row r="120" spans="2:13" x14ac:dyDescent="0.25">
      <c r="B120" s="29" t="s">
        <v>188</v>
      </c>
      <c r="C120">
        <v>197</v>
      </c>
      <c r="D120" t="s">
        <v>149</v>
      </c>
      <c r="E120" t="s">
        <v>102</v>
      </c>
      <c r="F120" s="28">
        <v>380935</v>
      </c>
      <c r="G120">
        <v>0</v>
      </c>
      <c r="H120" t="s">
        <v>110</v>
      </c>
      <c r="I120" t="s">
        <v>104</v>
      </c>
    </row>
    <row r="121" spans="2:13" x14ac:dyDescent="0.25">
      <c r="B121" s="29" t="s">
        <v>197</v>
      </c>
      <c r="C121">
        <v>201</v>
      </c>
      <c r="D121" t="s">
        <v>149</v>
      </c>
      <c r="E121" t="s">
        <v>102</v>
      </c>
      <c r="F121" s="28">
        <v>247160</v>
      </c>
      <c r="G121">
        <v>0</v>
      </c>
      <c r="H121" t="s">
        <v>110</v>
      </c>
      <c r="I121" t="s">
        <v>104</v>
      </c>
    </row>
    <row r="122" spans="2:13" x14ac:dyDescent="0.25">
      <c r="F122" s="28">
        <f>SUM(F93:F121)</f>
        <v>3987127.5</v>
      </c>
      <c r="G122">
        <v>0</v>
      </c>
      <c r="H122" t="s">
        <v>110</v>
      </c>
      <c r="I122" t="s">
        <v>104</v>
      </c>
    </row>
    <row r="123" spans="2:13" x14ac:dyDescent="0.25">
      <c r="F123" s="28">
        <v>13000</v>
      </c>
    </row>
    <row r="124" spans="2:13" x14ac:dyDescent="0.25">
      <c r="F124" s="28">
        <f>F122-F123</f>
        <v>3974127.5</v>
      </c>
    </row>
    <row r="126" spans="2:13" x14ac:dyDescent="0.25">
      <c r="B126" s="29" t="s">
        <v>201</v>
      </c>
      <c r="C126" t="s">
        <v>202</v>
      </c>
      <c r="D126" t="s">
        <v>203</v>
      </c>
      <c r="E126" t="s">
        <v>109</v>
      </c>
      <c r="F126" s="28">
        <v>10433684.16</v>
      </c>
      <c r="M126" s="28">
        <f>+F128+F89</f>
        <v>133912832.98000002</v>
      </c>
    </row>
    <row r="127" spans="2:13" x14ac:dyDescent="0.25">
      <c r="B127" s="29" t="s">
        <v>188</v>
      </c>
      <c r="C127" t="s">
        <v>205</v>
      </c>
      <c r="D127" t="s">
        <v>206</v>
      </c>
      <c r="E127" t="s">
        <v>109</v>
      </c>
      <c r="F127" s="28">
        <v>29268077.800000001</v>
      </c>
    </row>
    <row r="128" spans="2:13" x14ac:dyDescent="0.25">
      <c r="F128" s="28">
        <f>SUM(F126:F127)</f>
        <v>39701761.960000001</v>
      </c>
    </row>
    <row r="131" spans="2:9" x14ac:dyDescent="0.25">
      <c r="B131" s="29" t="s">
        <v>92</v>
      </c>
      <c r="C131" t="s">
        <v>93</v>
      </c>
      <c r="D131" t="s">
        <v>94</v>
      </c>
      <c r="E131" t="s">
        <v>95</v>
      </c>
      <c r="F131" t="s">
        <v>96</v>
      </c>
      <c r="G131" t="s">
        <v>97</v>
      </c>
      <c r="H131" t="s">
        <v>98</v>
      </c>
      <c r="I131" t="s">
        <v>99</v>
      </c>
    </row>
    <row r="132" spans="2:9" x14ac:dyDescent="0.25">
      <c r="B132" s="30">
        <v>44988</v>
      </c>
      <c r="C132" t="s">
        <v>207</v>
      </c>
      <c r="D132" t="s">
        <v>108</v>
      </c>
      <c r="E132" t="s">
        <v>109</v>
      </c>
      <c r="F132" s="28"/>
      <c r="G132">
        <v>0</v>
      </c>
      <c r="H132" t="s">
        <v>110</v>
      </c>
      <c r="I132" t="s">
        <v>104</v>
      </c>
    </row>
    <row r="133" spans="2:9" x14ac:dyDescent="0.25">
      <c r="B133" s="30">
        <v>45110</v>
      </c>
      <c r="C133" t="s">
        <v>208</v>
      </c>
      <c r="D133" t="s">
        <v>108</v>
      </c>
      <c r="E133" t="s">
        <v>109</v>
      </c>
      <c r="F133" s="28"/>
      <c r="G133">
        <v>0</v>
      </c>
      <c r="H133" t="s">
        <v>110</v>
      </c>
      <c r="I133" t="s">
        <v>104</v>
      </c>
    </row>
    <row r="134" spans="2:9" x14ac:dyDescent="0.25">
      <c r="B134" s="30">
        <v>45141</v>
      </c>
      <c r="C134" t="s">
        <v>209</v>
      </c>
      <c r="D134" t="s">
        <v>108</v>
      </c>
      <c r="E134" t="s">
        <v>109</v>
      </c>
      <c r="F134" s="28"/>
      <c r="G134">
        <v>0</v>
      </c>
      <c r="H134" t="s">
        <v>110</v>
      </c>
      <c r="I134" t="s">
        <v>104</v>
      </c>
    </row>
    <row r="135" spans="2:9" x14ac:dyDescent="0.25">
      <c r="B135" s="30">
        <v>45172</v>
      </c>
      <c r="C135" t="s">
        <v>210</v>
      </c>
      <c r="D135" t="s">
        <v>108</v>
      </c>
      <c r="E135" t="s">
        <v>109</v>
      </c>
      <c r="F135" s="28"/>
      <c r="G135">
        <v>0</v>
      </c>
      <c r="H135" t="s">
        <v>110</v>
      </c>
      <c r="I135" t="s">
        <v>104</v>
      </c>
    </row>
    <row r="136" spans="2:9" x14ac:dyDescent="0.25">
      <c r="B136" s="30">
        <v>45172</v>
      </c>
      <c r="C136" t="s">
        <v>211</v>
      </c>
      <c r="D136" t="s">
        <v>108</v>
      </c>
      <c r="E136" t="s">
        <v>109</v>
      </c>
      <c r="F136" s="28"/>
      <c r="G136">
        <v>0</v>
      </c>
      <c r="H136" t="s">
        <v>110</v>
      </c>
      <c r="I136" t="s">
        <v>104</v>
      </c>
    </row>
    <row r="137" spans="2:9" x14ac:dyDescent="0.25">
      <c r="B137" s="29" t="s">
        <v>212</v>
      </c>
      <c r="C137" t="s">
        <v>213</v>
      </c>
      <c r="D137" t="s">
        <v>108</v>
      </c>
      <c r="E137" t="s">
        <v>109</v>
      </c>
      <c r="F137" s="28"/>
      <c r="G137">
        <v>0</v>
      </c>
      <c r="H137" t="s">
        <v>110</v>
      </c>
      <c r="I137" t="s">
        <v>104</v>
      </c>
    </row>
    <row r="138" spans="2:9" x14ac:dyDescent="0.25">
      <c r="B138" s="29" t="s">
        <v>214</v>
      </c>
      <c r="C138" t="s">
        <v>215</v>
      </c>
      <c r="D138" t="s">
        <v>108</v>
      </c>
      <c r="E138" t="s">
        <v>109</v>
      </c>
      <c r="F138" s="28"/>
      <c r="G138">
        <v>0</v>
      </c>
      <c r="H138" t="s">
        <v>110</v>
      </c>
      <c r="I138" t="s">
        <v>104</v>
      </c>
    </row>
    <row r="139" spans="2:9" x14ac:dyDescent="0.25">
      <c r="B139" s="29" t="s">
        <v>216</v>
      </c>
      <c r="C139" t="s">
        <v>217</v>
      </c>
      <c r="D139" t="s">
        <v>108</v>
      </c>
      <c r="E139" t="s">
        <v>109</v>
      </c>
      <c r="F139" s="28"/>
      <c r="G139">
        <v>0</v>
      </c>
      <c r="H139" t="s">
        <v>110</v>
      </c>
      <c r="I139" t="s">
        <v>104</v>
      </c>
    </row>
    <row r="140" spans="2:9" x14ac:dyDescent="0.25">
      <c r="B140" s="29" t="s">
        <v>218</v>
      </c>
      <c r="C140" t="s">
        <v>219</v>
      </c>
      <c r="D140" t="s">
        <v>108</v>
      </c>
      <c r="E140" t="s">
        <v>109</v>
      </c>
      <c r="F140" s="28"/>
      <c r="G140">
        <v>0</v>
      </c>
      <c r="H140" t="s">
        <v>110</v>
      </c>
      <c r="I140" t="s">
        <v>104</v>
      </c>
    </row>
    <row r="141" spans="2:9" x14ac:dyDescent="0.25">
      <c r="B141" s="29" t="s">
        <v>220</v>
      </c>
      <c r="C141" t="s">
        <v>221</v>
      </c>
      <c r="D141" t="s">
        <v>108</v>
      </c>
      <c r="E141" t="s">
        <v>109</v>
      </c>
      <c r="F141" s="28"/>
      <c r="G141">
        <v>0</v>
      </c>
      <c r="H141" t="s">
        <v>110</v>
      </c>
      <c r="I141" t="s">
        <v>104</v>
      </c>
    </row>
    <row r="142" spans="2:9" x14ac:dyDescent="0.25">
      <c r="B142" s="29" t="s">
        <v>220</v>
      </c>
      <c r="C142" t="s">
        <v>222</v>
      </c>
      <c r="D142" t="s">
        <v>108</v>
      </c>
      <c r="E142" t="s">
        <v>109</v>
      </c>
      <c r="F142" s="28"/>
      <c r="G142">
        <v>0</v>
      </c>
      <c r="H142" t="s">
        <v>110</v>
      </c>
      <c r="I142" t="s">
        <v>104</v>
      </c>
    </row>
    <row r="143" spans="2:9" x14ac:dyDescent="0.25">
      <c r="B143" s="29" t="s">
        <v>223</v>
      </c>
      <c r="C143" t="s">
        <v>224</v>
      </c>
      <c r="D143" t="s">
        <v>108</v>
      </c>
      <c r="E143" t="s">
        <v>109</v>
      </c>
      <c r="F143" s="28"/>
      <c r="G143">
        <v>0</v>
      </c>
      <c r="H143" t="s">
        <v>110</v>
      </c>
      <c r="I143" t="s">
        <v>104</v>
      </c>
    </row>
    <row r="144" spans="2:9" x14ac:dyDescent="0.25">
      <c r="B144" s="29" t="s">
        <v>223</v>
      </c>
      <c r="C144" t="s">
        <v>225</v>
      </c>
      <c r="D144" t="s">
        <v>108</v>
      </c>
      <c r="E144" t="s">
        <v>109</v>
      </c>
      <c r="F144" s="28"/>
      <c r="G144">
        <v>0</v>
      </c>
      <c r="H144" t="s">
        <v>110</v>
      </c>
      <c r="I144" t="s">
        <v>104</v>
      </c>
    </row>
    <row r="145" spans="2:9" x14ac:dyDescent="0.25">
      <c r="B145" s="29" t="s">
        <v>212</v>
      </c>
      <c r="C145">
        <v>215</v>
      </c>
      <c r="D145" t="s">
        <v>173</v>
      </c>
      <c r="E145" t="s">
        <v>102</v>
      </c>
      <c r="F145" s="28">
        <v>137500</v>
      </c>
      <c r="G145">
        <v>0</v>
      </c>
      <c r="H145" t="s">
        <v>110</v>
      </c>
      <c r="I145" t="s">
        <v>104</v>
      </c>
    </row>
    <row r="146" spans="2:9" x14ac:dyDescent="0.25">
      <c r="B146" s="29" t="s">
        <v>226</v>
      </c>
      <c r="C146">
        <v>209</v>
      </c>
      <c r="D146" t="s">
        <v>176</v>
      </c>
      <c r="E146" t="s">
        <v>102</v>
      </c>
      <c r="F146" s="28">
        <v>862950</v>
      </c>
      <c r="G146">
        <v>0</v>
      </c>
      <c r="H146" t="s">
        <v>110</v>
      </c>
      <c r="I146" t="s">
        <v>104</v>
      </c>
    </row>
    <row r="147" spans="2:9" x14ac:dyDescent="0.25">
      <c r="B147" s="29" t="s">
        <v>227</v>
      </c>
      <c r="C147">
        <v>217</v>
      </c>
      <c r="D147" t="s">
        <v>132</v>
      </c>
      <c r="E147" t="s">
        <v>102</v>
      </c>
      <c r="F147" s="28">
        <v>260000</v>
      </c>
      <c r="G147">
        <v>0</v>
      </c>
      <c r="H147" t="s">
        <v>110</v>
      </c>
      <c r="I147" t="s">
        <v>104</v>
      </c>
    </row>
    <row r="148" spans="2:9" x14ac:dyDescent="0.25">
      <c r="B148" s="30">
        <v>45110</v>
      </c>
      <c r="C148">
        <v>207</v>
      </c>
      <c r="D148" t="s">
        <v>199</v>
      </c>
      <c r="E148" t="s">
        <v>102</v>
      </c>
      <c r="F148" s="28">
        <v>99450</v>
      </c>
      <c r="G148">
        <v>0</v>
      </c>
      <c r="H148" t="s">
        <v>110</v>
      </c>
      <c r="I148" t="s">
        <v>104</v>
      </c>
    </row>
    <row r="149" spans="2:9" x14ac:dyDescent="0.25">
      <c r="B149" s="29" t="s">
        <v>228</v>
      </c>
      <c r="C149">
        <v>218</v>
      </c>
      <c r="D149" t="s">
        <v>136</v>
      </c>
      <c r="E149" t="s">
        <v>102</v>
      </c>
      <c r="F149" s="28">
        <v>21900</v>
      </c>
      <c r="G149" s="28">
        <v>21900</v>
      </c>
      <c r="H149" t="s">
        <v>103</v>
      </c>
      <c r="I149" t="s">
        <v>104</v>
      </c>
    </row>
    <row r="150" spans="2:9" x14ac:dyDescent="0.25">
      <c r="B150" s="29" t="s">
        <v>212</v>
      </c>
      <c r="C150">
        <v>212</v>
      </c>
      <c r="D150" t="s">
        <v>141</v>
      </c>
      <c r="E150" t="s">
        <v>102</v>
      </c>
      <c r="F150" s="28">
        <v>195000</v>
      </c>
      <c r="G150">
        <v>0</v>
      </c>
      <c r="H150" t="s">
        <v>110</v>
      </c>
      <c r="I150" t="s">
        <v>104</v>
      </c>
    </row>
    <row r="151" spans="2:9" x14ac:dyDescent="0.25">
      <c r="B151" s="29" t="s">
        <v>212</v>
      </c>
      <c r="C151">
        <v>213</v>
      </c>
      <c r="D151" t="s">
        <v>141</v>
      </c>
      <c r="E151" t="s">
        <v>102</v>
      </c>
      <c r="F151" s="28">
        <v>150000</v>
      </c>
      <c r="G151">
        <v>0</v>
      </c>
      <c r="H151" t="s">
        <v>110</v>
      </c>
      <c r="I151" t="s">
        <v>104</v>
      </c>
    </row>
    <row r="152" spans="2:9" x14ac:dyDescent="0.25">
      <c r="B152" s="29" t="s">
        <v>229</v>
      </c>
      <c r="C152">
        <v>216</v>
      </c>
      <c r="D152" t="s">
        <v>204</v>
      </c>
      <c r="E152" t="s">
        <v>102</v>
      </c>
      <c r="F152" s="28">
        <v>50000</v>
      </c>
      <c r="G152">
        <v>0</v>
      </c>
      <c r="H152" t="s">
        <v>110</v>
      </c>
      <c r="I152" t="s">
        <v>104</v>
      </c>
    </row>
    <row r="153" spans="2:9" x14ac:dyDescent="0.25">
      <c r="B153" s="30">
        <v>45263</v>
      </c>
      <c r="C153">
        <v>208</v>
      </c>
      <c r="D153" t="s">
        <v>148</v>
      </c>
      <c r="E153" t="s">
        <v>102</v>
      </c>
      <c r="F153" s="28">
        <v>144000</v>
      </c>
      <c r="G153" s="28">
        <v>144000</v>
      </c>
      <c r="H153" t="s">
        <v>103</v>
      </c>
      <c r="I153" t="s">
        <v>104</v>
      </c>
    </row>
    <row r="154" spans="2:9" x14ac:dyDescent="0.25">
      <c r="B154" s="29" t="s">
        <v>212</v>
      </c>
      <c r="C154">
        <v>214</v>
      </c>
      <c r="D154" t="s">
        <v>148</v>
      </c>
      <c r="E154" t="s">
        <v>102</v>
      </c>
      <c r="F154" s="28">
        <v>176000</v>
      </c>
      <c r="G154">
        <v>0</v>
      </c>
      <c r="H154" t="s">
        <v>110</v>
      </c>
      <c r="I154" t="s">
        <v>104</v>
      </c>
    </row>
    <row r="155" spans="2:9" x14ac:dyDescent="0.25">
      <c r="B155" s="30">
        <v>44960</v>
      </c>
      <c r="C155">
        <v>205</v>
      </c>
      <c r="D155" t="s">
        <v>149</v>
      </c>
      <c r="E155" t="s">
        <v>102</v>
      </c>
      <c r="F155" s="28">
        <v>175250</v>
      </c>
      <c r="G155">
        <v>0</v>
      </c>
      <c r="H155" t="s">
        <v>110</v>
      </c>
      <c r="I155" t="s">
        <v>104</v>
      </c>
    </row>
    <row r="156" spans="2:9" x14ac:dyDescent="0.25">
      <c r="B156" s="29" t="s">
        <v>226</v>
      </c>
      <c r="C156">
        <v>210</v>
      </c>
      <c r="D156" t="s">
        <v>149</v>
      </c>
      <c r="E156" t="s">
        <v>102</v>
      </c>
      <c r="F156" s="28">
        <v>479020</v>
      </c>
      <c r="G156">
        <v>0</v>
      </c>
      <c r="H156" t="s">
        <v>110</v>
      </c>
      <c r="I156" t="s">
        <v>104</v>
      </c>
    </row>
    <row r="157" spans="2:9" x14ac:dyDescent="0.25">
      <c r="B157" s="29" t="s">
        <v>226</v>
      </c>
      <c r="C157">
        <v>211</v>
      </c>
      <c r="D157" t="s">
        <v>149</v>
      </c>
      <c r="E157" t="s">
        <v>102</v>
      </c>
      <c r="F157" s="28">
        <v>40294.25</v>
      </c>
      <c r="G157">
        <v>0</v>
      </c>
      <c r="H157" t="s">
        <v>110</v>
      </c>
      <c r="I157" t="s">
        <v>104</v>
      </c>
    </row>
    <row r="158" spans="2:9" x14ac:dyDescent="0.25">
      <c r="B158" s="30">
        <v>44960</v>
      </c>
      <c r="C158">
        <v>206</v>
      </c>
      <c r="D158" t="s">
        <v>150</v>
      </c>
      <c r="E158" t="s">
        <v>102</v>
      </c>
      <c r="F158" s="28">
        <v>89375</v>
      </c>
      <c r="G158">
        <v>0</v>
      </c>
      <c r="H158" t="s">
        <v>110</v>
      </c>
      <c r="I158" t="s">
        <v>104</v>
      </c>
    </row>
    <row r="159" spans="2:9" x14ac:dyDescent="0.25">
      <c r="F159" s="28">
        <f>SUM(F132:F158)</f>
        <v>2880739.25</v>
      </c>
    </row>
    <row r="160" spans="2:9" x14ac:dyDescent="0.25">
      <c r="F160" s="28">
        <v>33500</v>
      </c>
    </row>
    <row r="162" spans="2:7" x14ac:dyDescent="0.25">
      <c r="F162" s="28">
        <f>F159-F160</f>
        <v>2847239.25</v>
      </c>
    </row>
    <row r="166" spans="2:7" x14ac:dyDescent="0.25">
      <c r="B166" s="29" t="s">
        <v>92</v>
      </c>
      <c r="C166" t="s">
        <v>93</v>
      </c>
      <c r="D166" t="s">
        <v>94</v>
      </c>
      <c r="E166" t="s">
        <v>95</v>
      </c>
      <c r="F166" t="s">
        <v>96</v>
      </c>
      <c r="G166" t="s">
        <v>230</v>
      </c>
    </row>
    <row r="167" spans="2:7" x14ac:dyDescent="0.25">
      <c r="B167" s="30">
        <v>44930</v>
      </c>
      <c r="C167" t="s">
        <v>231</v>
      </c>
      <c r="D167" t="s">
        <v>108</v>
      </c>
      <c r="E167" t="s">
        <v>109</v>
      </c>
      <c r="F167" s="28"/>
      <c r="G167" t="s">
        <v>232</v>
      </c>
    </row>
    <row r="168" spans="2:7" x14ac:dyDescent="0.25">
      <c r="B168" s="30">
        <v>44989</v>
      </c>
      <c r="C168" t="s">
        <v>233</v>
      </c>
      <c r="D168" t="s">
        <v>108</v>
      </c>
      <c r="E168" t="s">
        <v>109</v>
      </c>
      <c r="F168" s="28"/>
      <c r="G168" t="s">
        <v>232</v>
      </c>
    </row>
    <row r="169" spans="2:7" x14ac:dyDescent="0.25">
      <c r="B169" s="30">
        <v>45020</v>
      </c>
      <c r="C169" t="s">
        <v>234</v>
      </c>
      <c r="D169" t="s">
        <v>108</v>
      </c>
      <c r="E169" t="s">
        <v>109</v>
      </c>
      <c r="F169" s="28"/>
      <c r="G169" t="s">
        <v>232</v>
      </c>
    </row>
    <row r="170" spans="2:7" x14ac:dyDescent="0.25">
      <c r="B170" s="30">
        <v>45111</v>
      </c>
      <c r="C170">
        <v>1</v>
      </c>
      <c r="D170" t="s">
        <v>149</v>
      </c>
      <c r="E170" t="s">
        <v>102</v>
      </c>
      <c r="F170" s="28">
        <v>384960</v>
      </c>
      <c r="G170" t="s">
        <v>235</v>
      </c>
    </row>
    <row r="171" spans="2:7" x14ac:dyDescent="0.25">
      <c r="B171" s="30">
        <v>45111</v>
      </c>
      <c r="C171">
        <v>2</v>
      </c>
      <c r="D171" t="s">
        <v>149</v>
      </c>
      <c r="E171" t="s">
        <v>102</v>
      </c>
      <c r="F171" s="28">
        <v>79960</v>
      </c>
      <c r="G171" t="s">
        <v>235</v>
      </c>
    </row>
    <row r="172" spans="2:7" x14ac:dyDescent="0.25">
      <c r="B172" s="30">
        <v>45111</v>
      </c>
      <c r="C172">
        <v>3</v>
      </c>
      <c r="D172" t="s">
        <v>106</v>
      </c>
      <c r="E172" t="s">
        <v>102</v>
      </c>
      <c r="F172" s="28">
        <v>190450</v>
      </c>
      <c r="G172" t="s">
        <v>235</v>
      </c>
    </row>
    <row r="173" spans="2:7" x14ac:dyDescent="0.25">
      <c r="B173" s="30">
        <v>45111</v>
      </c>
      <c r="C173" t="s">
        <v>236</v>
      </c>
      <c r="D173" t="s">
        <v>144</v>
      </c>
      <c r="E173" t="s">
        <v>102</v>
      </c>
      <c r="F173">
        <v>0</v>
      </c>
      <c r="G173" t="s">
        <v>232</v>
      </c>
    </row>
    <row r="174" spans="2:7" x14ac:dyDescent="0.25">
      <c r="B174" s="29" t="s">
        <v>237</v>
      </c>
      <c r="C174" t="s">
        <v>238</v>
      </c>
      <c r="D174" t="s">
        <v>203</v>
      </c>
      <c r="E174" t="s">
        <v>102</v>
      </c>
      <c r="F174">
        <v>0</v>
      </c>
      <c r="G174" t="s">
        <v>232</v>
      </c>
    </row>
    <row r="175" spans="2:7" x14ac:dyDescent="0.25">
      <c r="B175" s="29" t="s">
        <v>239</v>
      </c>
      <c r="C175" t="s">
        <v>240</v>
      </c>
      <c r="D175" t="s">
        <v>203</v>
      </c>
      <c r="E175" t="s">
        <v>102</v>
      </c>
      <c r="F175">
        <v>0</v>
      </c>
      <c r="G175" t="s">
        <v>232</v>
      </c>
    </row>
    <row r="176" spans="2:7" x14ac:dyDescent="0.25">
      <c r="B176" s="29" t="s">
        <v>241</v>
      </c>
      <c r="C176">
        <v>4</v>
      </c>
      <c r="D176" t="s">
        <v>106</v>
      </c>
      <c r="E176" t="s">
        <v>102</v>
      </c>
      <c r="F176" s="28">
        <v>60000</v>
      </c>
      <c r="G176" t="s">
        <v>235</v>
      </c>
    </row>
    <row r="177" spans="2:7" x14ac:dyDescent="0.25">
      <c r="F177" s="28">
        <f>SUM(F167:F176)</f>
        <v>715370</v>
      </c>
    </row>
    <row r="179" spans="2:7" x14ac:dyDescent="0.25">
      <c r="F179">
        <v>4348.5</v>
      </c>
    </row>
    <row r="180" spans="2:7" x14ac:dyDescent="0.25">
      <c r="F180" s="28">
        <f>F177-F179</f>
        <v>711021.5</v>
      </c>
    </row>
    <row r="183" spans="2:7" x14ac:dyDescent="0.25">
      <c r="B183" s="29" t="s">
        <v>92</v>
      </c>
      <c r="C183" t="s">
        <v>93</v>
      </c>
      <c r="D183" t="s">
        <v>94</v>
      </c>
      <c r="E183" t="s">
        <v>95</v>
      </c>
      <c r="F183" t="s">
        <v>96</v>
      </c>
      <c r="G183" t="s">
        <v>230</v>
      </c>
    </row>
    <row r="184" spans="2:7" x14ac:dyDescent="0.25">
      <c r="B184" s="30">
        <v>45174</v>
      </c>
      <c r="C184">
        <v>11</v>
      </c>
      <c r="D184" t="s">
        <v>106</v>
      </c>
      <c r="E184" t="s">
        <v>102</v>
      </c>
      <c r="F184" s="28">
        <v>64600</v>
      </c>
      <c r="G184" t="s">
        <v>235</v>
      </c>
    </row>
    <row r="185" spans="2:7" x14ac:dyDescent="0.25">
      <c r="B185" s="29" t="s">
        <v>242</v>
      </c>
      <c r="C185">
        <v>17</v>
      </c>
      <c r="D185" t="s">
        <v>106</v>
      </c>
      <c r="E185" t="s">
        <v>102</v>
      </c>
      <c r="F185" s="28">
        <v>92350</v>
      </c>
      <c r="G185" t="s">
        <v>235</v>
      </c>
    </row>
    <row r="186" spans="2:7" x14ac:dyDescent="0.25">
      <c r="B186" s="29" t="s">
        <v>243</v>
      </c>
      <c r="C186">
        <v>34</v>
      </c>
      <c r="D186" t="s">
        <v>106</v>
      </c>
      <c r="E186" t="s">
        <v>102</v>
      </c>
      <c r="F186" s="28">
        <v>116000</v>
      </c>
      <c r="G186" t="s">
        <v>235</v>
      </c>
    </row>
    <row r="187" spans="2:7" x14ac:dyDescent="0.25">
      <c r="B187" s="29" t="s">
        <v>244</v>
      </c>
      <c r="C187">
        <v>18</v>
      </c>
      <c r="D187" t="s">
        <v>245</v>
      </c>
      <c r="E187" t="s">
        <v>102</v>
      </c>
      <c r="F187">
        <v>600</v>
      </c>
      <c r="G187" t="s">
        <v>235</v>
      </c>
    </row>
    <row r="188" spans="2:7" x14ac:dyDescent="0.25">
      <c r="B188" s="29" t="s">
        <v>244</v>
      </c>
      <c r="C188">
        <v>24</v>
      </c>
      <c r="D188" t="s">
        <v>245</v>
      </c>
      <c r="E188" t="s">
        <v>102</v>
      </c>
      <c r="F188" s="28">
        <v>22200</v>
      </c>
      <c r="G188" t="s">
        <v>235</v>
      </c>
    </row>
    <row r="189" spans="2:7" x14ac:dyDescent="0.25">
      <c r="B189" s="29" t="s">
        <v>246</v>
      </c>
      <c r="C189">
        <v>22</v>
      </c>
      <c r="D189" t="s">
        <v>247</v>
      </c>
      <c r="E189" t="s">
        <v>130</v>
      </c>
      <c r="F189" s="28">
        <v>228562.5</v>
      </c>
      <c r="G189" t="s">
        <v>235</v>
      </c>
    </row>
    <row r="190" spans="2:7" x14ac:dyDescent="0.25">
      <c r="B190" s="30">
        <v>45265</v>
      </c>
      <c r="C190">
        <v>12</v>
      </c>
      <c r="D190" t="s">
        <v>176</v>
      </c>
      <c r="E190" t="s">
        <v>102</v>
      </c>
      <c r="F190" s="28">
        <v>98750</v>
      </c>
      <c r="G190" t="s">
        <v>235</v>
      </c>
    </row>
    <row r="191" spans="2:7" x14ac:dyDescent="0.25">
      <c r="B191" s="30">
        <v>45265</v>
      </c>
      <c r="C191">
        <v>13</v>
      </c>
      <c r="D191" t="s">
        <v>176</v>
      </c>
      <c r="E191" t="s">
        <v>102</v>
      </c>
      <c r="F191" s="28">
        <v>47900</v>
      </c>
      <c r="G191" t="s">
        <v>235</v>
      </c>
    </row>
    <row r="192" spans="2:7" x14ac:dyDescent="0.25">
      <c r="B192" s="29" t="s">
        <v>248</v>
      </c>
      <c r="C192">
        <v>28</v>
      </c>
      <c r="D192" t="s">
        <v>176</v>
      </c>
      <c r="E192" t="s">
        <v>102</v>
      </c>
      <c r="F192" s="28">
        <v>81862.5</v>
      </c>
      <c r="G192" t="s">
        <v>235</v>
      </c>
    </row>
    <row r="193" spans="2:7" x14ac:dyDescent="0.25">
      <c r="B193" s="29" t="s">
        <v>243</v>
      </c>
      <c r="C193">
        <v>32</v>
      </c>
      <c r="D193" t="s">
        <v>176</v>
      </c>
      <c r="E193" t="s">
        <v>102</v>
      </c>
      <c r="F193" s="28">
        <v>473750</v>
      </c>
      <c r="G193" t="s">
        <v>235</v>
      </c>
    </row>
    <row r="194" spans="2:7" x14ac:dyDescent="0.25">
      <c r="B194" s="29" t="s">
        <v>243</v>
      </c>
      <c r="C194">
        <v>33</v>
      </c>
      <c r="D194" t="s">
        <v>176</v>
      </c>
      <c r="E194" t="s">
        <v>102</v>
      </c>
      <c r="F194" s="28">
        <v>35500</v>
      </c>
      <c r="G194" t="s">
        <v>235</v>
      </c>
    </row>
    <row r="195" spans="2:7" x14ac:dyDescent="0.25">
      <c r="B195" s="30">
        <v>45021</v>
      </c>
      <c r="C195">
        <v>9</v>
      </c>
      <c r="D195" t="s">
        <v>129</v>
      </c>
      <c r="E195" t="s">
        <v>130</v>
      </c>
      <c r="F195" s="28">
        <v>353167.53</v>
      </c>
      <c r="G195" t="s">
        <v>235</v>
      </c>
    </row>
    <row r="196" spans="2:7" x14ac:dyDescent="0.25">
      <c r="B196" s="29" t="s">
        <v>246</v>
      </c>
      <c r="C196">
        <v>23</v>
      </c>
      <c r="D196" t="s">
        <v>129</v>
      </c>
      <c r="E196" t="s">
        <v>130</v>
      </c>
      <c r="F196" s="28">
        <v>741119.98</v>
      </c>
      <c r="G196" t="s">
        <v>235</v>
      </c>
    </row>
    <row r="197" spans="2:7" x14ac:dyDescent="0.25">
      <c r="B197" s="29" t="s">
        <v>249</v>
      </c>
      <c r="C197">
        <v>31</v>
      </c>
      <c r="D197" t="s">
        <v>129</v>
      </c>
      <c r="E197" t="s">
        <v>130</v>
      </c>
      <c r="F197" s="28">
        <v>165419.98000000001</v>
      </c>
      <c r="G197" t="s">
        <v>235</v>
      </c>
    </row>
    <row r="198" spans="2:7" x14ac:dyDescent="0.25">
      <c r="B198" s="30">
        <v>44962</v>
      </c>
      <c r="C198">
        <v>6</v>
      </c>
      <c r="D198" t="s">
        <v>132</v>
      </c>
      <c r="E198" t="s">
        <v>102</v>
      </c>
      <c r="F198" s="28">
        <v>96500</v>
      </c>
      <c r="G198" t="s">
        <v>235</v>
      </c>
    </row>
    <row r="199" spans="2:7" x14ac:dyDescent="0.25">
      <c r="B199" s="29" t="s">
        <v>250</v>
      </c>
      <c r="C199">
        <v>19</v>
      </c>
      <c r="D199" t="s">
        <v>199</v>
      </c>
      <c r="E199" t="s">
        <v>102</v>
      </c>
      <c r="F199" s="28">
        <v>31875</v>
      </c>
      <c r="G199" t="s">
        <v>235</v>
      </c>
    </row>
    <row r="200" spans="2:7" x14ac:dyDescent="0.25">
      <c r="B200" s="29" t="s">
        <v>246</v>
      </c>
      <c r="C200">
        <v>21</v>
      </c>
      <c r="D200" t="s">
        <v>133</v>
      </c>
      <c r="E200" t="s">
        <v>102</v>
      </c>
      <c r="F200" s="28">
        <v>96250</v>
      </c>
      <c r="G200" t="s">
        <v>235</v>
      </c>
    </row>
    <row r="201" spans="2:7" x14ac:dyDescent="0.25">
      <c r="B201" s="29" t="s">
        <v>242</v>
      </c>
      <c r="C201">
        <v>14</v>
      </c>
      <c r="D201" t="s">
        <v>251</v>
      </c>
      <c r="E201" t="s">
        <v>102</v>
      </c>
      <c r="F201" s="28">
        <v>460000</v>
      </c>
      <c r="G201" t="s">
        <v>235</v>
      </c>
    </row>
    <row r="202" spans="2:7" x14ac:dyDescent="0.25">
      <c r="B202" s="29" t="s">
        <v>242</v>
      </c>
      <c r="C202">
        <v>16</v>
      </c>
      <c r="D202" t="s">
        <v>251</v>
      </c>
      <c r="E202" t="s">
        <v>102</v>
      </c>
      <c r="F202" s="28">
        <v>30000</v>
      </c>
      <c r="G202" t="s">
        <v>235</v>
      </c>
    </row>
    <row r="203" spans="2:7" x14ac:dyDescent="0.25">
      <c r="B203" s="29" t="s">
        <v>252</v>
      </c>
      <c r="C203">
        <v>27</v>
      </c>
      <c r="D203" t="s">
        <v>136</v>
      </c>
      <c r="E203" t="s">
        <v>102</v>
      </c>
      <c r="F203" s="28">
        <v>59250</v>
      </c>
      <c r="G203" t="s">
        <v>235</v>
      </c>
    </row>
    <row r="204" spans="2:7" x14ac:dyDescent="0.25">
      <c r="B204" s="29" t="s">
        <v>253</v>
      </c>
      <c r="C204">
        <v>29</v>
      </c>
      <c r="D204" t="s">
        <v>139</v>
      </c>
      <c r="E204" t="s">
        <v>102</v>
      </c>
      <c r="F204" s="28">
        <v>262500</v>
      </c>
      <c r="G204" t="s">
        <v>235</v>
      </c>
    </row>
    <row r="205" spans="2:7" x14ac:dyDescent="0.25">
      <c r="B205" s="30">
        <v>44962</v>
      </c>
      <c r="C205">
        <v>7</v>
      </c>
      <c r="D205" t="s">
        <v>141</v>
      </c>
      <c r="E205" t="s">
        <v>102</v>
      </c>
      <c r="F205" s="28">
        <v>743000</v>
      </c>
      <c r="G205" t="s">
        <v>235</v>
      </c>
    </row>
    <row r="206" spans="2:7" x14ac:dyDescent="0.25">
      <c r="B206" s="30">
        <v>44962</v>
      </c>
      <c r="C206">
        <v>8</v>
      </c>
      <c r="D206" t="s">
        <v>141</v>
      </c>
      <c r="E206" t="s">
        <v>102</v>
      </c>
      <c r="F206" s="28">
        <v>12500</v>
      </c>
      <c r="G206" t="s">
        <v>235</v>
      </c>
    </row>
    <row r="207" spans="2:7" x14ac:dyDescent="0.25">
      <c r="B207" s="30">
        <v>45235</v>
      </c>
      <c r="C207" t="s">
        <v>254</v>
      </c>
      <c r="D207" t="s">
        <v>144</v>
      </c>
      <c r="E207" t="s">
        <v>109</v>
      </c>
      <c r="F207">
        <v>0</v>
      </c>
      <c r="G207" t="s">
        <v>232</v>
      </c>
    </row>
    <row r="208" spans="2:7" x14ac:dyDescent="0.25">
      <c r="G208" t="s">
        <v>232</v>
      </c>
    </row>
    <row r="209" spans="2:7" x14ac:dyDescent="0.25">
      <c r="B209" s="29" t="s">
        <v>246</v>
      </c>
      <c r="C209" t="s">
        <v>256</v>
      </c>
      <c r="D209" t="s">
        <v>144</v>
      </c>
      <c r="E209" t="s">
        <v>109</v>
      </c>
      <c r="F209" s="28">
        <v>52185.39</v>
      </c>
      <c r="G209" t="s">
        <v>232</v>
      </c>
    </row>
    <row r="210" spans="2:7" x14ac:dyDescent="0.25">
      <c r="B210" s="29" t="s">
        <v>249</v>
      </c>
      <c r="C210" t="s">
        <v>257</v>
      </c>
      <c r="D210" t="s">
        <v>144</v>
      </c>
      <c r="E210" t="s">
        <v>109</v>
      </c>
      <c r="F210">
        <v>0</v>
      </c>
      <c r="G210" t="s">
        <v>232</v>
      </c>
    </row>
    <row r="211" spans="2:7" x14ac:dyDescent="0.25">
      <c r="B211" s="29" t="s">
        <v>258</v>
      </c>
      <c r="C211">
        <v>1</v>
      </c>
      <c r="D211" t="s">
        <v>259</v>
      </c>
      <c r="E211" t="s">
        <v>102</v>
      </c>
      <c r="F211" s="28">
        <v>13208182.4</v>
      </c>
      <c r="G211" t="s">
        <v>232</v>
      </c>
    </row>
    <row r="212" spans="2:7" x14ac:dyDescent="0.25">
      <c r="B212" s="30">
        <v>45174</v>
      </c>
      <c r="C212">
        <v>10</v>
      </c>
      <c r="D212" t="s">
        <v>147</v>
      </c>
      <c r="E212" t="s">
        <v>102</v>
      </c>
      <c r="F212" s="28">
        <v>2724000</v>
      </c>
      <c r="G212" t="s">
        <v>235</v>
      </c>
    </row>
    <row r="213" spans="2:7" x14ac:dyDescent="0.25">
      <c r="B213" s="29" t="s">
        <v>242</v>
      </c>
      <c r="C213">
        <v>15</v>
      </c>
      <c r="D213" t="s">
        <v>148</v>
      </c>
      <c r="E213" t="s">
        <v>102</v>
      </c>
      <c r="F213" s="28">
        <v>117700</v>
      </c>
      <c r="G213" t="s">
        <v>235</v>
      </c>
    </row>
    <row r="214" spans="2:7" x14ac:dyDescent="0.25">
      <c r="B214" s="29" t="s">
        <v>244</v>
      </c>
      <c r="C214">
        <v>25</v>
      </c>
      <c r="D214" t="s">
        <v>148</v>
      </c>
      <c r="E214" t="s">
        <v>102</v>
      </c>
      <c r="F214" s="28">
        <v>95000</v>
      </c>
      <c r="G214" t="s">
        <v>235</v>
      </c>
    </row>
    <row r="215" spans="2:7" x14ac:dyDescent="0.25">
      <c r="B215" s="29" t="s">
        <v>244</v>
      </c>
      <c r="C215">
        <v>26</v>
      </c>
      <c r="D215" t="s">
        <v>148</v>
      </c>
      <c r="E215" t="s">
        <v>102</v>
      </c>
      <c r="F215" s="28">
        <v>316950</v>
      </c>
      <c r="G215" t="s">
        <v>235</v>
      </c>
    </row>
    <row r="216" spans="2:7" x14ac:dyDescent="0.25">
      <c r="B216" s="29" t="s">
        <v>260</v>
      </c>
      <c r="C216">
        <v>35</v>
      </c>
      <c r="D216" t="s">
        <v>149</v>
      </c>
      <c r="E216" t="s">
        <v>102</v>
      </c>
      <c r="F216" s="28">
        <v>65407.5</v>
      </c>
      <c r="G216" t="s">
        <v>235</v>
      </c>
    </row>
    <row r="217" spans="2:7" x14ac:dyDescent="0.25">
      <c r="B217" s="29" t="s">
        <v>260</v>
      </c>
      <c r="C217">
        <v>36</v>
      </c>
      <c r="D217" t="s">
        <v>149</v>
      </c>
      <c r="E217" t="s">
        <v>102</v>
      </c>
      <c r="F217" s="28">
        <v>130256.75</v>
      </c>
      <c r="G217" t="s">
        <v>235</v>
      </c>
    </row>
    <row r="218" spans="2:7" x14ac:dyDescent="0.25">
      <c r="B218" s="30">
        <v>44962</v>
      </c>
      <c r="C218">
        <v>5</v>
      </c>
      <c r="D218" t="s">
        <v>261</v>
      </c>
      <c r="E218" t="s">
        <v>102</v>
      </c>
      <c r="F218" s="28">
        <v>686000</v>
      </c>
      <c r="G218" t="s">
        <v>235</v>
      </c>
    </row>
    <row r="219" spans="2:7" x14ac:dyDescent="0.25">
      <c r="B219" s="29" t="s">
        <v>246</v>
      </c>
      <c r="C219">
        <v>20</v>
      </c>
      <c r="D219" t="s">
        <v>150</v>
      </c>
      <c r="E219" t="s">
        <v>102</v>
      </c>
      <c r="F219" s="28">
        <v>4000</v>
      </c>
      <c r="G219" t="s">
        <v>235</v>
      </c>
    </row>
    <row r="220" spans="2:7" x14ac:dyDescent="0.25">
      <c r="B220" s="29" t="s">
        <v>253</v>
      </c>
      <c r="C220">
        <v>30</v>
      </c>
      <c r="D220" t="s">
        <v>150</v>
      </c>
      <c r="E220" t="s">
        <v>102</v>
      </c>
      <c r="F220" s="28">
        <v>71500</v>
      </c>
      <c r="G220" t="s">
        <v>235</v>
      </c>
    </row>
    <row r="221" spans="2:7" x14ac:dyDescent="0.25">
      <c r="B221" s="29" t="s">
        <v>250</v>
      </c>
      <c r="C221" t="s">
        <v>262</v>
      </c>
      <c r="D221" t="s">
        <v>152</v>
      </c>
      <c r="E221" t="s">
        <v>109</v>
      </c>
      <c r="F221">
        <v>0</v>
      </c>
      <c r="G221" t="s">
        <v>232</v>
      </c>
    </row>
    <row r="223" spans="2:7" x14ac:dyDescent="0.25">
      <c r="F223" s="28">
        <f>SUM(F184:I222)</f>
        <v>21784839.530000001</v>
      </c>
    </row>
    <row r="224" spans="2:7" x14ac:dyDescent="0.25">
      <c r="F224" s="28">
        <v>78850</v>
      </c>
    </row>
    <row r="225" spans="2:6" x14ac:dyDescent="0.25">
      <c r="F225" s="28">
        <f>F223-F224</f>
        <v>21705989.530000001</v>
      </c>
    </row>
    <row r="232" spans="2:6" x14ac:dyDescent="0.25">
      <c r="B232" s="30">
        <v>45235</v>
      </c>
      <c r="C232" t="s">
        <v>255</v>
      </c>
      <c r="D232" t="s">
        <v>144</v>
      </c>
      <c r="E232" t="s">
        <v>109</v>
      </c>
      <c r="F232" s="28">
        <v>33178454.52</v>
      </c>
    </row>
    <row r="241" spans="2:7" x14ac:dyDescent="0.25">
      <c r="B241" s="29" t="s">
        <v>92</v>
      </c>
      <c r="C241" t="s">
        <v>93</v>
      </c>
      <c r="D241" t="s">
        <v>94</v>
      </c>
      <c r="E241" t="s">
        <v>95</v>
      </c>
      <c r="F241" t="s">
        <v>96</v>
      </c>
      <c r="G241" t="s">
        <v>99</v>
      </c>
    </row>
    <row r="242" spans="2:7" x14ac:dyDescent="0.25">
      <c r="B242" s="30">
        <v>44963</v>
      </c>
      <c r="C242">
        <v>37</v>
      </c>
      <c r="D242" t="s">
        <v>106</v>
      </c>
      <c r="E242" t="s">
        <v>102</v>
      </c>
      <c r="F242" s="28">
        <v>91000</v>
      </c>
      <c r="G242" t="s">
        <v>104</v>
      </c>
    </row>
    <row r="243" spans="2:7" x14ac:dyDescent="0.25">
      <c r="B243" s="29" t="s">
        <v>302</v>
      </c>
      <c r="C243">
        <v>58</v>
      </c>
      <c r="D243" t="s">
        <v>106</v>
      </c>
      <c r="E243" t="s">
        <v>102</v>
      </c>
      <c r="F243" s="28">
        <v>121130</v>
      </c>
      <c r="G243" t="s">
        <v>104</v>
      </c>
    </row>
    <row r="244" spans="2:7" x14ac:dyDescent="0.25">
      <c r="B244" s="30">
        <v>45083</v>
      </c>
      <c r="C244">
        <v>39</v>
      </c>
      <c r="D244" t="s">
        <v>173</v>
      </c>
      <c r="E244" t="s">
        <v>102</v>
      </c>
      <c r="F244" s="28">
        <v>72600</v>
      </c>
      <c r="G244" t="s">
        <v>104</v>
      </c>
    </row>
    <row r="245" spans="2:7" x14ac:dyDescent="0.25">
      <c r="B245" s="29" t="s">
        <v>303</v>
      </c>
      <c r="C245">
        <v>48</v>
      </c>
      <c r="D245" t="s">
        <v>247</v>
      </c>
      <c r="E245" t="s">
        <v>130</v>
      </c>
      <c r="F245" s="28">
        <v>224887.53</v>
      </c>
      <c r="G245" t="s">
        <v>104</v>
      </c>
    </row>
    <row r="246" spans="2:7" x14ac:dyDescent="0.25">
      <c r="B246" s="30">
        <v>45113</v>
      </c>
      <c r="C246">
        <v>40</v>
      </c>
      <c r="D246" t="s">
        <v>129</v>
      </c>
      <c r="E246" t="s">
        <v>130</v>
      </c>
      <c r="F246" s="28">
        <v>353167.53</v>
      </c>
      <c r="G246" t="s">
        <v>104</v>
      </c>
    </row>
    <row r="247" spans="2:7" x14ac:dyDescent="0.25">
      <c r="B247" s="29" t="s">
        <v>304</v>
      </c>
      <c r="C247">
        <v>51</v>
      </c>
      <c r="D247" t="s">
        <v>129</v>
      </c>
      <c r="E247" t="s">
        <v>130</v>
      </c>
      <c r="F247" s="28">
        <v>353167.53</v>
      </c>
      <c r="G247" t="s">
        <v>104</v>
      </c>
    </row>
    <row r="248" spans="2:7" x14ac:dyDescent="0.25">
      <c r="B248" s="30">
        <v>45113</v>
      </c>
      <c r="C248">
        <v>41</v>
      </c>
      <c r="D248" t="s">
        <v>132</v>
      </c>
      <c r="E248" t="s">
        <v>102</v>
      </c>
      <c r="F248" s="28">
        <v>100000</v>
      </c>
      <c r="G248" t="s">
        <v>104</v>
      </c>
    </row>
    <row r="249" spans="2:7" x14ac:dyDescent="0.25">
      <c r="B249" s="30">
        <v>45113</v>
      </c>
      <c r="C249">
        <v>42</v>
      </c>
      <c r="D249" t="s">
        <v>132</v>
      </c>
      <c r="E249" t="s">
        <v>102</v>
      </c>
      <c r="F249" s="28">
        <v>262500</v>
      </c>
      <c r="G249" t="s">
        <v>104</v>
      </c>
    </row>
    <row r="250" spans="2:7" x14ac:dyDescent="0.25">
      <c r="B250" s="29" t="s">
        <v>303</v>
      </c>
      <c r="C250">
        <v>47</v>
      </c>
      <c r="D250" t="s">
        <v>199</v>
      </c>
      <c r="E250" t="s">
        <v>102</v>
      </c>
      <c r="F250" s="28">
        <v>24225</v>
      </c>
      <c r="G250" t="s">
        <v>104</v>
      </c>
    </row>
    <row r="251" spans="2:7" x14ac:dyDescent="0.25">
      <c r="B251" s="29" t="s">
        <v>305</v>
      </c>
      <c r="C251">
        <v>56</v>
      </c>
      <c r="D251" t="s">
        <v>199</v>
      </c>
      <c r="E251" t="s">
        <v>102</v>
      </c>
      <c r="F251" s="28">
        <v>206125</v>
      </c>
      <c r="G251" t="s">
        <v>104</v>
      </c>
    </row>
    <row r="252" spans="2:7" x14ac:dyDescent="0.25">
      <c r="B252" s="29" t="s">
        <v>305</v>
      </c>
      <c r="C252">
        <v>55</v>
      </c>
      <c r="D252" t="s">
        <v>133</v>
      </c>
      <c r="E252" t="s">
        <v>102</v>
      </c>
      <c r="F252" s="28">
        <v>210800</v>
      </c>
      <c r="G252" t="s">
        <v>104</v>
      </c>
    </row>
    <row r="253" spans="2:7" x14ac:dyDescent="0.25">
      <c r="B253" s="30">
        <v>45052</v>
      </c>
      <c r="C253">
        <v>38</v>
      </c>
      <c r="D253" t="s">
        <v>136</v>
      </c>
      <c r="E253" t="s">
        <v>102</v>
      </c>
      <c r="F253" s="28">
        <v>68500</v>
      </c>
      <c r="G253" t="s">
        <v>104</v>
      </c>
    </row>
    <row r="254" spans="2:7" x14ac:dyDescent="0.25">
      <c r="B254" s="29" t="s">
        <v>302</v>
      </c>
      <c r="C254">
        <v>57</v>
      </c>
      <c r="D254" t="s">
        <v>136</v>
      </c>
      <c r="E254" t="s">
        <v>102</v>
      </c>
      <c r="F254" s="28">
        <v>40500</v>
      </c>
      <c r="G254" t="s">
        <v>104</v>
      </c>
    </row>
    <row r="255" spans="2:7" x14ac:dyDescent="0.25">
      <c r="B255" s="29" t="s">
        <v>306</v>
      </c>
      <c r="C255">
        <v>49</v>
      </c>
      <c r="D255" t="s">
        <v>141</v>
      </c>
      <c r="E255" t="s">
        <v>102</v>
      </c>
      <c r="F255" s="28">
        <v>253500</v>
      </c>
      <c r="G255" t="s">
        <v>104</v>
      </c>
    </row>
    <row r="256" spans="2:7" x14ac:dyDescent="0.25">
      <c r="B256" s="30">
        <v>45083</v>
      </c>
      <c r="C256" t="s">
        <v>307</v>
      </c>
      <c r="D256" t="s">
        <v>144</v>
      </c>
      <c r="E256" t="s">
        <v>109</v>
      </c>
      <c r="F256">
        <v>0</v>
      </c>
      <c r="G256" t="s">
        <v>104</v>
      </c>
    </row>
    <row r="257" spans="2:7" x14ac:dyDescent="0.25">
      <c r="B257" s="30">
        <v>45144</v>
      </c>
      <c r="C257" t="s">
        <v>308</v>
      </c>
      <c r="D257" t="s">
        <v>144</v>
      </c>
      <c r="E257" t="s">
        <v>109</v>
      </c>
      <c r="F257">
        <v>0</v>
      </c>
      <c r="G257" t="s">
        <v>104</v>
      </c>
    </row>
    <row r="258" spans="2:7" x14ac:dyDescent="0.25">
      <c r="B258" s="29" t="s">
        <v>309</v>
      </c>
      <c r="C258" t="s">
        <v>310</v>
      </c>
      <c r="D258" t="s">
        <v>144</v>
      </c>
      <c r="E258" t="s">
        <v>109</v>
      </c>
      <c r="F258" s="28">
        <v>1880.24</v>
      </c>
      <c r="G258" t="s">
        <v>104</v>
      </c>
    </row>
    <row r="259" spans="2:7" x14ac:dyDescent="0.25">
      <c r="B259" s="29" t="s">
        <v>309</v>
      </c>
      <c r="C259" t="s">
        <v>311</v>
      </c>
      <c r="D259" t="s">
        <v>144</v>
      </c>
      <c r="E259" t="s">
        <v>109</v>
      </c>
      <c r="F259">
        <v>0</v>
      </c>
      <c r="G259" t="s">
        <v>104</v>
      </c>
    </row>
    <row r="260" spans="2:7" x14ac:dyDescent="0.25">
      <c r="B260" s="29" t="s">
        <v>312</v>
      </c>
      <c r="C260" t="s">
        <v>313</v>
      </c>
      <c r="D260" t="s">
        <v>144</v>
      </c>
      <c r="E260" t="s">
        <v>109</v>
      </c>
      <c r="F260">
        <v>0</v>
      </c>
      <c r="G260" t="s">
        <v>104</v>
      </c>
    </row>
    <row r="261" spans="2:7" x14ac:dyDescent="0.25">
      <c r="B261" s="29" t="s">
        <v>312</v>
      </c>
      <c r="C261" t="s">
        <v>314</v>
      </c>
      <c r="D261" t="s">
        <v>144</v>
      </c>
      <c r="E261" t="s">
        <v>109</v>
      </c>
      <c r="F261">
        <v>0</v>
      </c>
      <c r="G261" t="s">
        <v>104</v>
      </c>
    </row>
    <row r="262" spans="2:7" x14ac:dyDescent="0.25">
      <c r="B262" s="29" t="s">
        <v>315</v>
      </c>
      <c r="C262" t="s">
        <v>316</v>
      </c>
      <c r="D262" t="s">
        <v>144</v>
      </c>
      <c r="E262" t="s">
        <v>109</v>
      </c>
      <c r="F262">
        <v>0</v>
      </c>
      <c r="G262" t="s">
        <v>104</v>
      </c>
    </row>
    <row r="263" spans="2:7" x14ac:dyDescent="0.25">
      <c r="B263" s="30">
        <v>45175</v>
      </c>
      <c r="C263">
        <v>44</v>
      </c>
      <c r="D263" t="s">
        <v>317</v>
      </c>
      <c r="E263" t="s">
        <v>102</v>
      </c>
      <c r="F263" s="28">
        <v>195000</v>
      </c>
      <c r="G263" t="s">
        <v>104</v>
      </c>
    </row>
    <row r="264" spans="2:7" x14ac:dyDescent="0.25">
      <c r="B264" s="30">
        <v>45175</v>
      </c>
      <c r="C264">
        <v>43</v>
      </c>
      <c r="D264" t="s">
        <v>148</v>
      </c>
      <c r="E264" t="s">
        <v>102</v>
      </c>
      <c r="F264" s="28">
        <v>91250</v>
      </c>
      <c r="G264" t="s">
        <v>104</v>
      </c>
    </row>
    <row r="265" spans="2:7" x14ac:dyDescent="0.25">
      <c r="B265" s="29" t="s">
        <v>304</v>
      </c>
      <c r="C265">
        <v>52</v>
      </c>
      <c r="D265" t="s">
        <v>148</v>
      </c>
      <c r="E265" t="s">
        <v>102</v>
      </c>
      <c r="F265" s="28">
        <v>63750</v>
      </c>
      <c r="G265" t="s">
        <v>104</v>
      </c>
    </row>
    <row r="266" spans="2:7" x14ac:dyDescent="0.25">
      <c r="B266" s="30">
        <v>45266</v>
      </c>
      <c r="C266">
        <v>45</v>
      </c>
      <c r="D266" t="s">
        <v>149</v>
      </c>
      <c r="E266" t="s">
        <v>102</v>
      </c>
      <c r="F266" s="28">
        <v>31931.25</v>
      </c>
      <c r="G266" t="s">
        <v>104</v>
      </c>
    </row>
    <row r="267" spans="2:7" x14ac:dyDescent="0.25">
      <c r="B267" s="29" t="s">
        <v>303</v>
      </c>
      <c r="C267">
        <v>46</v>
      </c>
      <c r="D267" t="s">
        <v>149</v>
      </c>
      <c r="E267" t="s">
        <v>102</v>
      </c>
      <c r="F267" s="28">
        <v>11505</v>
      </c>
      <c r="G267" t="s">
        <v>104</v>
      </c>
    </row>
    <row r="268" spans="2:7" x14ac:dyDescent="0.25">
      <c r="B268" s="29" t="s">
        <v>318</v>
      </c>
      <c r="C268">
        <v>53</v>
      </c>
      <c r="D268" t="s">
        <v>149</v>
      </c>
      <c r="E268" t="s">
        <v>102</v>
      </c>
      <c r="F268" s="28">
        <v>22018.75</v>
      </c>
      <c r="G268" t="s">
        <v>104</v>
      </c>
    </row>
    <row r="269" spans="2:7" x14ac:dyDescent="0.25">
      <c r="B269" s="29" t="s">
        <v>318</v>
      </c>
      <c r="C269">
        <v>54</v>
      </c>
      <c r="D269" t="s">
        <v>149</v>
      </c>
      <c r="E269" t="s">
        <v>102</v>
      </c>
      <c r="F269" s="28">
        <v>19760</v>
      </c>
      <c r="G269" t="s">
        <v>104</v>
      </c>
    </row>
    <row r="270" spans="2:7" x14ac:dyDescent="0.25">
      <c r="F270" s="28">
        <f>SUM(F242:F269)</f>
        <v>2819197.83</v>
      </c>
    </row>
    <row r="274" spans="2:7" x14ac:dyDescent="0.25">
      <c r="B274" s="29" t="s">
        <v>92</v>
      </c>
      <c r="C274" t="s">
        <v>93</v>
      </c>
      <c r="D274" t="s">
        <v>94</v>
      </c>
      <c r="E274" t="s">
        <v>95</v>
      </c>
      <c r="F274" t="s">
        <v>96</v>
      </c>
      <c r="G274" t="s">
        <v>99</v>
      </c>
    </row>
    <row r="275" spans="2:7" x14ac:dyDescent="0.25">
      <c r="B275" s="30">
        <v>45113</v>
      </c>
      <c r="C275" t="s">
        <v>319</v>
      </c>
      <c r="D275" t="s">
        <v>132</v>
      </c>
      <c r="E275" t="s">
        <v>102</v>
      </c>
      <c r="F275" s="28">
        <v>92000</v>
      </c>
      <c r="G275" t="s">
        <v>104</v>
      </c>
    </row>
    <row r="276" spans="2:7" x14ac:dyDescent="0.25">
      <c r="B276" s="30">
        <v>45113</v>
      </c>
      <c r="C276" t="s">
        <v>320</v>
      </c>
      <c r="D276" t="s">
        <v>132</v>
      </c>
      <c r="E276" t="s">
        <v>102</v>
      </c>
      <c r="F276" s="28">
        <v>88000</v>
      </c>
      <c r="G276" t="s">
        <v>104</v>
      </c>
    </row>
    <row r="277" spans="2:7" x14ac:dyDescent="0.25">
      <c r="B277" s="30">
        <v>45113</v>
      </c>
      <c r="C277" t="s">
        <v>321</v>
      </c>
      <c r="D277" t="s">
        <v>129</v>
      </c>
      <c r="E277" t="s">
        <v>130</v>
      </c>
      <c r="F277" s="28">
        <v>51183.7</v>
      </c>
      <c r="G277" t="s">
        <v>104</v>
      </c>
    </row>
    <row r="278" spans="2:7" x14ac:dyDescent="0.25">
      <c r="F278" s="28">
        <f>SUM(F275:F277)</f>
        <v>231183.7</v>
      </c>
    </row>
    <row r="280" spans="2:7" x14ac:dyDescent="0.25">
      <c r="F280" s="28">
        <f>F270-F278</f>
        <v>2588014.13</v>
      </c>
    </row>
    <row r="281" spans="2:7" x14ac:dyDescent="0.25">
      <c r="B281" s="29" t="s">
        <v>312</v>
      </c>
      <c r="C281" s="55">
        <v>2</v>
      </c>
      <c r="D281" t="s">
        <v>336</v>
      </c>
      <c r="E281" t="s">
        <v>337</v>
      </c>
      <c r="F281" s="28">
        <v>6321675.4500000002</v>
      </c>
    </row>
    <row r="282" spans="2:7" x14ac:dyDescent="0.25">
      <c r="F282" s="56">
        <f>SUM(F280:F281)</f>
        <v>8909689.5800000001</v>
      </c>
    </row>
    <row r="284" spans="2:7" x14ac:dyDescent="0.25">
      <c r="B284" s="29" t="s">
        <v>92</v>
      </c>
      <c r="C284" t="s">
        <v>93</v>
      </c>
      <c r="D284" t="s">
        <v>94</v>
      </c>
      <c r="E284" t="s">
        <v>95</v>
      </c>
      <c r="F284" t="s">
        <v>96</v>
      </c>
      <c r="G284" t="s">
        <v>99</v>
      </c>
    </row>
    <row r="285" spans="2:7" x14ac:dyDescent="0.25">
      <c r="B285" s="29" t="s">
        <v>322</v>
      </c>
      <c r="C285">
        <v>69</v>
      </c>
      <c r="D285" t="s">
        <v>106</v>
      </c>
      <c r="E285" t="s">
        <v>102</v>
      </c>
      <c r="F285" s="28">
        <v>108375</v>
      </c>
      <c r="G285" t="s">
        <v>104</v>
      </c>
    </row>
    <row r="286" spans="2:7" x14ac:dyDescent="0.25">
      <c r="B286" s="30">
        <v>45084</v>
      </c>
      <c r="C286">
        <v>59</v>
      </c>
      <c r="D286" t="s">
        <v>129</v>
      </c>
      <c r="E286" t="s">
        <v>130</v>
      </c>
      <c r="F286" s="28">
        <v>143924.98000000001</v>
      </c>
      <c r="G286" t="s">
        <v>104</v>
      </c>
    </row>
    <row r="287" spans="2:7" x14ac:dyDescent="0.25">
      <c r="B287" s="30">
        <v>45237</v>
      </c>
      <c r="C287">
        <v>62</v>
      </c>
      <c r="D287" t="s">
        <v>199</v>
      </c>
      <c r="E287" t="s">
        <v>102</v>
      </c>
      <c r="F287" s="28">
        <v>106080</v>
      </c>
      <c r="G287" t="s">
        <v>104</v>
      </c>
    </row>
    <row r="288" spans="2:7" x14ac:dyDescent="0.25">
      <c r="B288" s="29" t="s">
        <v>323</v>
      </c>
      <c r="C288">
        <v>64</v>
      </c>
      <c r="D288" t="s">
        <v>136</v>
      </c>
      <c r="E288" t="s">
        <v>102</v>
      </c>
      <c r="F288" s="28">
        <v>33750</v>
      </c>
      <c r="G288" t="s">
        <v>104</v>
      </c>
    </row>
    <row r="289" spans="2:7" x14ac:dyDescent="0.25">
      <c r="B289" s="29" t="s">
        <v>324</v>
      </c>
      <c r="C289">
        <v>67</v>
      </c>
      <c r="D289" t="s">
        <v>136</v>
      </c>
      <c r="E289" t="s">
        <v>102</v>
      </c>
      <c r="F289" s="28">
        <v>33750</v>
      </c>
      <c r="G289" t="s">
        <v>104</v>
      </c>
    </row>
    <row r="290" spans="2:7" x14ac:dyDescent="0.25">
      <c r="G290" t="s">
        <v>104</v>
      </c>
    </row>
    <row r="291" spans="2:7" x14ac:dyDescent="0.25">
      <c r="B291" s="29" t="s">
        <v>326</v>
      </c>
      <c r="C291">
        <v>63</v>
      </c>
      <c r="D291" t="s">
        <v>148</v>
      </c>
      <c r="E291" t="s">
        <v>102</v>
      </c>
      <c r="F291" s="28">
        <v>15150</v>
      </c>
      <c r="G291" t="s">
        <v>104</v>
      </c>
    </row>
    <row r="292" spans="2:7" x14ac:dyDescent="0.25">
      <c r="B292" s="29" t="s">
        <v>324</v>
      </c>
      <c r="C292">
        <v>66</v>
      </c>
      <c r="D292" t="s">
        <v>148</v>
      </c>
      <c r="E292" t="s">
        <v>102</v>
      </c>
      <c r="F292" s="28">
        <v>97500</v>
      </c>
      <c r="G292" t="s">
        <v>104</v>
      </c>
    </row>
    <row r="293" spans="2:7" x14ac:dyDescent="0.25">
      <c r="B293" s="30">
        <v>45206</v>
      </c>
      <c r="C293">
        <v>61</v>
      </c>
      <c r="D293" t="s">
        <v>149</v>
      </c>
      <c r="E293" t="s">
        <v>102</v>
      </c>
      <c r="F293" s="28">
        <v>257746.25</v>
      </c>
      <c r="G293" t="s">
        <v>104</v>
      </c>
    </row>
    <row r="294" spans="2:7" x14ac:dyDescent="0.25">
      <c r="B294" s="29" t="s">
        <v>323</v>
      </c>
      <c r="C294">
        <v>65</v>
      </c>
      <c r="D294" t="s">
        <v>149</v>
      </c>
      <c r="E294" t="s">
        <v>102</v>
      </c>
      <c r="F294" s="28">
        <v>28062.75</v>
      </c>
      <c r="G294" t="s">
        <v>104</v>
      </c>
    </row>
    <row r="295" spans="2:7" x14ac:dyDescent="0.25">
      <c r="B295" s="29" t="s">
        <v>327</v>
      </c>
      <c r="C295">
        <v>68</v>
      </c>
      <c r="D295" t="s">
        <v>149</v>
      </c>
      <c r="E295" t="s">
        <v>102</v>
      </c>
      <c r="F295" s="28">
        <v>231812.25</v>
      </c>
      <c r="G295" t="s">
        <v>104</v>
      </c>
    </row>
    <row r="296" spans="2:7" x14ac:dyDescent="0.25">
      <c r="B296" s="30">
        <v>45084</v>
      </c>
      <c r="C296">
        <v>60</v>
      </c>
      <c r="D296" t="s">
        <v>150</v>
      </c>
      <c r="E296" t="s">
        <v>102</v>
      </c>
      <c r="F296" s="28">
        <v>89375</v>
      </c>
    </row>
    <row r="297" spans="2:7" x14ac:dyDescent="0.25">
      <c r="F297" s="28">
        <f>SUM(F285:I296)</f>
        <v>1145526.23</v>
      </c>
    </row>
    <row r="298" spans="2:7" x14ac:dyDescent="0.25">
      <c r="F298" s="28"/>
    </row>
    <row r="299" spans="2:7" x14ac:dyDescent="0.25">
      <c r="B299" s="29" t="s">
        <v>326</v>
      </c>
      <c r="C299" t="s">
        <v>328</v>
      </c>
      <c r="D299" t="s">
        <v>329</v>
      </c>
      <c r="E299" t="s">
        <v>109</v>
      </c>
      <c r="F299" s="28">
        <v>17475558.41</v>
      </c>
      <c r="G299" t="s">
        <v>104</v>
      </c>
    </row>
    <row r="300" spans="2:7" x14ac:dyDescent="0.25">
      <c r="B300" s="29" t="s">
        <v>323</v>
      </c>
      <c r="C300" t="s">
        <v>325</v>
      </c>
      <c r="D300" t="s">
        <v>144</v>
      </c>
      <c r="E300" t="s">
        <v>109</v>
      </c>
      <c r="F300" s="28">
        <v>46435</v>
      </c>
      <c r="G300" t="s">
        <v>104</v>
      </c>
    </row>
    <row r="301" spans="2:7" x14ac:dyDescent="0.25">
      <c r="B301" s="30">
        <v>45267</v>
      </c>
      <c r="C301" t="s">
        <v>330</v>
      </c>
      <c r="D301" t="s">
        <v>152</v>
      </c>
      <c r="E301" t="s">
        <v>109</v>
      </c>
      <c r="F301" s="28">
        <v>60511743</v>
      </c>
      <c r="G301" t="s">
        <v>104</v>
      </c>
    </row>
    <row r="302" spans="2:7" x14ac:dyDescent="0.25">
      <c r="B302" s="29" t="s">
        <v>326</v>
      </c>
      <c r="C302" t="s">
        <v>331</v>
      </c>
      <c r="D302" t="s">
        <v>332</v>
      </c>
      <c r="E302" t="s">
        <v>109</v>
      </c>
      <c r="F302">
        <v>0</v>
      </c>
      <c r="G302" t="s">
        <v>104</v>
      </c>
    </row>
    <row r="303" spans="2:7" x14ac:dyDescent="0.25">
      <c r="F303" s="28">
        <f>SUM(F299:F302)</f>
        <v>78033736.409999996</v>
      </c>
    </row>
    <row r="306" spans="2:7" x14ac:dyDescent="0.25">
      <c r="B306" s="29" t="s">
        <v>92</v>
      </c>
      <c r="C306" t="s">
        <v>93</v>
      </c>
      <c r="D306" t="s">
        <v>94</v>
      </c>
      <c r="E306" t="s">
        <v>95</v>
      </c>
      <c r="F306" t="s">
        <v>96</v>
      </c>
      <c r="G306" t="s">
        <v>99</v>
      </c>
    </row>
    <row r="307" spans="2:7" x14ac:dyDescent="0.25">
      <c r="B307" s="29" t="s">
        <v>323</v>
      </c>
      <c r="C307" t="s">
        <v>333</v>
      </c>
      <c r="D307" t="s">
        <v>141</v>
      </c>
      <c r="E307" t="s">
        <v>102</v>
      </c>
      <c r="F307" s="28">
        <v>87500</v>
      </c>
      <c r="G307" t="s">
        <v>104</v>
      </c>
    </row>
    <row r="308" spans="2:7" x14ac:dyDescent="0.25">
      <c r="B308" s="29" t="s">
        <v>334</v>
      </c>
      <c r="C308" t="s">
        <v>335</v>
      </c>
      <c r="D308" t="s">
        <v>149</v>
      </c>
      <c r="E308" t="s">
        <v>102</v>
      </c>
      <c r="F308" s="28">
        <v>32759</v>
      </c>
      <c r="G308" t="s">
        <v>104</v>
      </c>
    </row>
    <row r="309" spans="2:7" x14ac:dyDescent="0.25">
      <c r="F309" s="28">
        <f>SUM(F307:F308)</f>
        <v>120259</v>
      </c>
    </row>
    <row r="311" spans="2:7" x14ac:dyDescent="0.25">
      <c r="F311" s="28">
        <f>F297-F309</f>
        <v>1025267.23</v>
      </c>
    </row>
    <row r="312" spans="2:7" x14ac:dyDescent="0.25">
      <c r="B312" s="29" t="s">
        <v>338</v>
      </c>
      <c r="C312" s="55">
        <v>3</v>
      </c>
      <c r="D312" t="s">
        <v>295</v>
      </c>
      <c r="E312" t="s">
        <v>337</v>
      </c>
      <c r="F312" s="28">
        <v>13871232.6</v>
      </c>
    </row>
    <row r="313" spans="2:7" x14ac:dyDescent="0.25">
      <c r="F313" s="56">
        <f>SUM(F311:F312)</f>
        <v>14896499.83</v>
      </c>
    </row>
    <row r="316" spans="2:7" x14ac:dyDescent="0.25">
      <c r="B316" s="29" t="s">
        <v>92</v>
      </c>
      <c r="C316" t="s">
        <v>93</v>
      </c>
      <c r="D316" t="s">
        <v>94</v>
      </c>
      <c r="E316" t="s">
        <v>95</v>
      </c>
      <c r="F316" t="s">
        <v>96</v>
      </c>
    </row>
    <row r="319" spans="2:7" x14ac:dyDescent="0.25">
      <c r="B319" s="29" t="s">
        <v>92</v>
      </c>
      <c r="C319" t="s">
        <v>93</v>
      </c>
      <c r="D319" t="s">
        <v>94</v>
      </c>
      <c r="E319" t="s">
        <v>95</v>
      </c>
      <c r="F319" t="s">
        <v>96</v>
      </c>
    </row>
  </sheetData>
  <sortState xmlns:xlrd2="http://schemas.microsoft.com/office/spreadsheetml/2017/richdata2" ref="B285:M303">
    <sortCondition ref="D285:D30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Administrative exp.</vt:lpstr>
      <vt:lpstr>Selling &amp; Dist.</vt:lpstr>
      <vt:lpstr>Finanacial exp</vt:lpstr>
      <vt:lpstr>Sales</vt:lpstr>
      <vt:lpstr>Showroom Sales</vt:lpstr>
      <vt:lpstr>Sheet6</vt:lpstr>
      <vt:lpstr>Sheet5</vt:lpstr>
      <vt:lpstr>'Administrative exp.'!Print_Area</vt:lpstr>
      <vt:lpstr>'Finanacial exp'!Print_Area</vt:lpstr>
      <vt:lpstr>Sales!Print_Area</vt:lpstr>
      <vt:lpstr>'Selling &amp; Dist.'!Print_Area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SALES</dc:creator>
  <cp:lastModifiedBy>SALES</cp:lastModifiedBy>
  <cp:lastPrinted>2023-08-11T10:01:49Z</cp:lastPrinted>
  <dcterms:created xsi:type="dcterms:W3CDTF">2023-06-14T05:23:53Z</dcterms:created>
  <dcterms:modified xsi:type="dcterms:W3CDTF">2023-08-11T10:06:39Z</dcterms:modified>
</cp:coreProperties>
</file>